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-30" yWindow="-75" windowWidth="24240" windowHeight="9705" activeTab="2"/>
  </bookViews>
  <sheets>
    <sheet name="СОДЕРЖАНИЕ" sheetId="13" r:id="rId1"/>
    <sheet name="Бытовые сплит-системы" sheetId="12" r:id="rId2"/>
    <sheet name="RAC SALES" sheetId="15" r:id="rId3"/>
    <sheet name="Мультисплит-системы" sheetId="14" r:id="rId4"/>
    <sheet name="Полупромышленные сплит-системы" sheetId="8" r:id="rId5"/>
    <sheet name="Мультизональные системы" sheetId="11" r:id="rId6"/>
  </sheets>
  <definedNames>
    <definedName name="_xlnm.Print_Area" localSheetId="5">'Мультизональные системы'!$A$9:$D$122</definedName>
    <definedName name="_xlnm.Print_Area" localSheetId="3">'Мультисплит-системы'!$A$9:$D$57</definedName>
    <definedName name="_xlnm.Print_Area" localSheetId="4">'Полупромышленные сплит-системы'!$A$14:$E$92</definedName>
  </definedNames>
  <calcPr calcId="145621" refMode="R1C1"/>
</workbook>
</file>

<file path=xl/calcChain.xml><?xml version="1.0" encoding="utf-8"?>
<calcChain xmlns="http://schemas.openxmlformats.org/spreadsheetml/2006/main">
  <c r="J30" i="15" l="1"/>
  <c r="K30" i="15" s="1"/>
  <c r="J27" i="15"/>
  <c r="K27" i="15" s="1"/>
  <c r="I28" i="15"/>
  <c r="J28" i="15" s="1"/>
  <c r="K28" i="15" s="1"/>
  <c r="I25" i="15"/>
  <c r="J25" i="15" s="1"/>
  <c r="K25" i="15" s="1"/>
  <c r="I24" i="15"/>
  <c r="J24" i="15" s="1"/>
  <c r="K24" i="15" s="1"/>
  <c r="I22" i="15"/>
  <c r="J22" i="15" s="1"/>
  <c r="K22" i="15" s="1"/>
  <c r="I21" i="15"/>
  <c r="J21" i="15" s="1"/>
  <c r="K21" i="15" s="1"/>
  <c r="L41" i="15" l="1"/>
  <c r="L40" i="15"/>
  <c r="I40" i="15"/>
  <c r="J40" i="15" s="1"/>
  <c r="K40" i="15" s="1"/>
  <c r="L39" i="15"/>
  <c r="L38" i="15"/>
  <c r="I38" i="15"/>
  <c r="J38" i="15" s="1"/>
  <c r="K38" i="15" s="1"/>
  <c r="L37" i="15"/>
  <c r="L36" i="15"/>
  <c r="I36" i="15"/>
  <c r="J36" i="15" s="1"/>
  <c r="K36" i="15" s="1"/>
  <c r="L35" i="15"/>
  <c r="L34" i="15"/>
  <c r="I34" i="15"/>
  <c r="J34" i="15" s="1"/>
  <c r="K34" i="15" s="1"/>
  <c r="L33" i="15"/>
  <c r="L32" i="15"/>
  <c r="I32" i="15"/>
  <c r="J32" i="15" s="1"/>
  <c r="K32" i="15" s="1"/>
  <c r="I19" i="15"/>
  <c r="J19" i="15" s="1"/>
  <c r="K19" i="15" s="1"/>
  <c r="I16" i="15"/>
  <c r="J16" i="15" s="1"/>
  <c r="K16" i="15" s="1"/>
  <c r="E2" i="15" s="1"/>
  <c r="I14" i="15"/>
  <c r="J14" i="15" s="1"/>
  <c r="K14" i="15" s="1"/>
  <c r="I12" i="15"/>
  <c r="J12" i="15" s="1"/>
  <c r="K12" i="15" s="1"/>
  <c r="I10" i="15"/>
  <c r="J10" i="15" s="1"/>
  <c r="K10" i="15" s="1"/>
  <c r="H21" i="8" l="1"/>
  <c r="H40" i="8"/>
  <c r="H39" i="8"/>
  <c r="H37" i="8"/>
  <c r="H36" i="8"/>
  <c r="H34" i="8"/>
  <c r="H33" i="8"/>
  <c r="H31" i="8"/>
  <c r="H30" i="8"/>
  <c r="H28" i="8"/>
  <c r="H27" i="8"/>
  <c r="H25" i="8"/>
  <c r="H24" i="8"/>
  <c r="H22" i="8"/>
  <c r="H19" i="8"/>
  <c r="H18" i="8"/>
  <c r="H16" i="8"/>
  <c r="H15" i="8"/>
  <c r="H91" i="8"/>
  <c r="H89" i="8"/>
  <c r="H87" i="8"/>
  <c r="H85" i="8"/>
  <c r="H82" i="8"/>
  <c r="H80" i="8"/>
  <c r="H78" i="8"/>
  <c r="H76" i="8"/>
  <c r="H74" i="8"/>
  <c r="H72" i="8"/>
  <c r="H70" i="8"/>
  <c r="H68" i="8"/>
  <c r="H66" i="8"/>
  <c r="H64" i="8"/>
  <c r="H61" i="8"/>
  <c r="H59" i="8"/>
  <c r="H57" i="8"/>
  <c r="H55" i="8"/>
  <c r="H53" i="8"/>
  <c r="H51" i="8"/>
  <c r="H49" i="8"/>
  <c r="H47" i="8"/>
  <c r="H45" i="8"/>
  <c r="H43" i="8"/>
  <c r="H12" i="8"/>
  <c r="M2" i="8" s="1"/>
  <c r="I90" i="8"/>
  <c r="I88" i="8"/>
  <c r="I86" i="8"/>
  <c r="I84" i="8"/>
  <c r="I81" i="8"/>
  <c r="I79" i="8"/>
  <c r="I77" i="8"/>
  <c r="I75" i="8"/>
  <c r="I73" i="8"/>
  <c r="I71" i="8"/>
  <c r="I69" i="8"/>
  <c r="I67" i="8"/>
  <c r="I65" i="8"/>
  <c r="I63" i="8"/>
  <c r="I60" i="8"/>
  <c r="I58" i="8"/>
  <c r="I56" i="8"/>
  <c r="I54" i="8"/>
  <c r="I52" i="8"/>
  <c r="I50" i="8"/>
  <c r="I48" i="8"/>
  <c r="I46" i="8"/>
  <c r="I44" i="8"/>
  <c r="I42" i="8"/>
  <c r="I38" i="8"/>
  <c r="I35" i="8"/>
  <c r="I32" i="8"/>
  <c r="I29" i="8"/>
  <c r="I26" i="8"/>
  <c r="I23" i="8"/>
  <c r="I20" i="8"/>
  <c r="I17" i="8"/>
  <c r="I14" i="8"/>
  <c r="I11" i="8"/>
  <c r="J11" i="8" s="1"/>
  <c r="K11" i="8" s="1"/>
  <c r="L91" i="8"/>
  <c r="L90" i="8"/>
  <c r="L89" i="8"/>
  <c r="L88" i="8"/>
  <c r="L87" i="8"/>
  <c r="L86" i="8"/>
  <c r="L85" i="8"/>
  <c r="L84" i="8"/>
  <c r="L81" i="8"/>
  <c r="L79" i="8"/>
  <c r="L77" i="8"/>
  <c r="L75" i="8"/>
  <c r="L73" i="8"/>
  <c r="L71" i="8"/>
  <c r="L69" i="8"/>
  <c r="L67" i="8"/>
  <c r="L65" i="8"/>
  <c r="L64" i="8"/>
  <c r="L63" i="8"/>
  <c r="L61" i="8"/>
  <c r="L60" i="8"/>
  <c r="L58" i="8"/>
  <c r="L56" i="8"/>
  <c r="L54" i="8"/>
  <c r="L52" i="8"/>
  <c r="L50" i="8"/>
  <c r="L48" i="8"/>
  <c r="L46" i="8"/>
  <c r="L44" i="8"/>
  <c r="L42" i="8"/>
  <c r="L43" i="8"/>
  <c r="L82" i="8"/>
  <c r="L80" i="8"/>
  <c r="L78" i="8"/>
  <c r="L76" i="8"/>
  <c r="L74" i="8"/>
  <c r="L72" i="8"/>
  <c r="L70" i="8"/>
  <c r="L68" i="8"/>
  <c r="L66" i="8"/>
  <c r="L55" i="8"/>
  <c r="L57" i="8"/>
  <c r="L59" i="8"/>
  <c r="L53" i="8"/>
  <c r="L51" i="8"/>
  <c r="L49" i="8"/>
  <c r="L47" i="8"/>
  <c r="L45" i="8"/>
  <c r="L40" i="8"/>
  <c r="L39" i="8"/>
  <c r="L38" i="8"/>
  <c r="L37" i="8"/>
  <c r="L36" i="8"/>
  <c r="L35" i="8"/>
  <c r="L34" i="8"/>
  <c r="L33" i="8"/>
  <c r="L32" i="8"/>
  <c r="L31" i="8"/>
  <c r="L30" i="8"/>
  <c r="L29" i="8"/>
  <c r="L28" i="8"/>
  <c r="L27" i="8"/>
  <c r="L26" i="8"/>
  <c r="L25" i="8"/>
  <c r="L24" i="8"/>
  <c r="L23" i="8"/>
  <c r="L22" i="8"/>
  <c r="L21" i="8"/>
  <c r="L20" i="8"/>
  <c r="L19" i="8"/>
  <c r="L18" i="8"/>
  <c r="L17" i="8"/>
  <c r="L16" i="8"/>
  <c r="L15" i="8"/>
  <c r="L14" i="8"/>
  <c r="L12" i="8"/>
  <c r="L11" i="8"/>
  <c r="M2" i="14"/>
  <c r="J2" i="14"/>
  <c r="I57" i="14"/>
  <c r="I56" i="14"/>
  <c r="I55" i="14"/>
  <c r="I53" i="14"/>
  <c r="I52" i="14"/>
  <c r="I51" i="14"/>
  <c r="I50" i="14"/>
  <c r="I49" i="14"/>
  <c r="I47" i="14"/>
  <c r="I46" i="14"/>
  <c r="I45" i="14"/>
  <c r="I44" i="14"/>
  <c r="I42" i="14"/>
  <c r="I41" i="14"/>
  <c r="I40" i="14"/>
  <c r="I39" i="14"/>
  <c r="I38" i="14"/>
  <c r="I37" i="14"/>
  <c r="I35" i="14"/>
  <c r="I34" i="14"/>
  <c r="I33" i="14"/>
  <c r="I32" i="14"/>
  <c r="I31" i="14"/>
  <c r="I29" i="14"/>
  <c r="I28" i="14"/>
  <c r="I27" i="14"/>
  <c r="I26" i="14"/>
  <c r="I25" i="14"/>
  <c r="I24" i="14"/>
  <c r="I22" i="14"/>
  <c r="I21" i="14"/>
  <c r="I20" i="14"/>
  <c r="I19" i="14"/>
  <c r="I18" i="14"/>
  <c r="I16" i="14"/>
  <c r="I15" i="14"/>
  <c r="I14" i="14"/>
  <c r="I13" i="14"/>
  <c r="I12" i="14"/>
  <c r="I11" i="14"/>
  <c r="I10" i="14"/>
  <c r="J2" i="8" l="1"/>
  <c r="L41" i="14"/>
  <c r="L42" i="14"/>
  <c r="L57" i="14" l="1"/>
  <c r="L56" i="14"/>
  <c r="L55" i="14"/>
  <c r="L53" i="14"/>
  <c r="L52" i="14"/>
  <c r="L51" i="14"/>
  <c r="L50" i="14"/>
  <c r="L49" i="14"/>
  <c r="L47" i="14"/>
  <c r="L46" i="14"/>
  <c r="L45" i="14"/>
  <c r="L44" i="14"/>
  <c r="L40" i="14"/>
  <c r="L39" i="14"/>
  <c r="L38" i="14"/>
  <c r="L37" i="14"/>
  <c r="L35" i="14"/>
  <c r="L34" i="14"/>
  <c r="L33" i="14"/>
  <c r="L32" i="14"/>
  <c r="L31" i="14"/>
  <c r="L29" i="14"/>
  <c r="L28" i="14"/>
  <c r="L27" i="14"/>
  <c r="L26" i="14"/>
  <c r="L25" i="14"/>
  <c r="L24" i="14"/>
  <c r="L22" i="14"/>
  <c r="L21" i="14"/>
  <c r="L20" i="14"/>
  <c r="L19" i="14"/>
  <c r="L18" i="14"/>
  <c r="L16" i="14"/>
  <c r="L15" i="14"/>
  <c r="L14" i="14"/>
  <c r="L13" i="14"/>
  <c r="L12" i="14"/>
  <c r="L11" i="14"/>
  <c r="L10" i="14"/>
  <c r="J57" i="14"/>
  <c r="K57" i="14" s="1"/>
  <c r="J56" i="14"/>
  <c r="K56" i="14" s="1"/>
  <c r="J55" i="14"/>
  <c r="K55" i="14" s="1"/>
  <c r="J53" i="14"/>
  <c r="K53" i="14" s="1"/>
  <c r="J52" i="14"/>
  <c r="K52" i="14" s="1"/>
  <c r="J51" i="14"/>
  <c r="K51" i="14" s="1"/>
  <c r="J50" i="14"/>
  <c r="K50" i="14" s="1"/>
  <c r="J49" i="14"/>
  <c r="K49" i="14" s="1"/>
  <c r="J47" i="14"/>
  <c r="K47" i="14" s="1"/>
  <c r="J46" i="14"/>
  <c r="K46" i="14" s="1"/>
  <c r="J45" i="14"/>
  <c r="K45" i="14" s="1"/>
  <c r="J44" i="14"/>
  <c r="K44" i="14" s="1"/>
  <c r="E42" i="14"/>
  <c r="J41" i="14"/>
  <c r="K41" i="14" s="1"/>
  <c r="J39" i="14"/>
  <c r="K39" i="14" s="1"/>
  <c r="J37" i="14"/>
  <c r="K37" i="14" s="1"/>
  <c r="J35" i="14"/>
  <c r="K35" i="14" s="1"/>
  <c r="J34" i="14"/>
  <c r="K34" i="14" s="1"/>
  <c r="J33" i="14"/>
  <c r="K33" i="14" s="1"/>
  <c r="J32" i="14"/>
  <c r="K32" i="14" s="1"/>
  <c r="J31" i="14"/>
  <c r="K31" i="14" s="1"/>
  <c r="J29" i="14"/>
  <c r="K29" i="14" s="1"/>
  <c r="J28" i="14"/>
  <c r="K28" i="14" s="1"/>
  <c r="J27" i="14"/>
  <c r="K27" i="14" s="1"/>
  <c r="J26" i="14"/>
  <c r="K26" i="14" s="1"/>
  <c r="J25" i="14"/>
  <c r="K25" i="14" s="1"/>
  <c r="J24" i="14"/>
  <c r="K24" i="14" s="1"/>
  <c r="J22" i="14"/>
  <c r="K22" i="14" s="1"/>
  <c r="J21" i="14"/>
  <c r="K21" i="14" s="1"/>
  <c r="J20" i="14"/>
  <c r="K20" i="14" s="1"/>
  <c r="J19" i="14"/>
  <c r="K19" i="14" s="1"/>
  <c r="J18" i="14"/>
  <c r="K18" i="14" s="1"/>
  <c r="J16" i="14"/>
  <c r="K16" i="14" s="1"/>
  <c r="J15" i="14"/>
  <c r="K15" i="14" s="1"/>
  <c r="J14" i="14"/>
  <c r="K14" i="14" s="1"/>
  <c r="J13" i="14"/>
  <c r="K13" i="14" s="1"/>
  <c r="J12" i="14"/>
  <c r="K12" i="14" s="1"/>
  <c r="J11" i="14"/>
  <c r="K11" i="14" s="1"/>
  <c r="J10" i="14"/>
  <c r="K10" i="14" s="1"/>
  <c r="E2" i="14" l="1"/>
  <c r="M2" i="11"/>
  <c r="J2" i="11"/>
  <c r="L122" i="11"/>
  <c r="L121" i="11"/>
  <c r="L120" i="11"/>
  <c r="L119" i="11"/>
  <c r="L118" i="11"/>
  <c r="L117" i="11"/>
  <c r="L116" i="11"/>
  <c r="L114" i="11"/>
  <c r="L113" i="11"/>
  <c r="L112" i="11"/>
  <c r="L111" i="11"/>
  <c r="L109" i="11"/>
  <c r="L108" i="11"/>
  <c r="L107" i="11"/>
  <c r="L106" i="11"/>
  <c r="L105" i="11"/>
  <c r="L101" i="11"/>
  <c r="L104" i="11"/>
  <c r="L103" i="11"/>
  <c r="L102" i="11"/>
  <c r="L99" i="11"/>
  <c r="L98" i="11"/>
  <c r="L97" i="11"/>
  <c r="L96" i="11"/>
  <c r="L95" i="11"/>
  <c r="L94" i="11"/>
  <c r="L93" i="11"/>
  <c r="L92" i="11"/>
  <c r="L91" i="11"/>
  <c r="L90" i="11"/>
  <c r="L89" i="11"/>
  <c r="L88" i="11"/>
  <c r="L87" i="11"/>
  <c r="L86" i="11"/>
  <c r="L85" i="11"/>
  <c r="L84" i="11"/>
  <c r="L83" i="11"/>
  <c r="L81" i="11"/>
  <c r="L80" i="11"/>
  <c r="L79" i="11"/>
  <c r="L78" i="11"/>
  <c r="L77" i="11"/>
  <c r="L76" i="11"/>
  <c r="L75" i="11"/>
  <c r="L74" i="11"/>
  <c r="L73" i="11"/>
  <c r="L72" i="11"/>
  <c r="L71" i="11"/>
  <c r="L69" i="11"/>
  <c r="L68" i="11"/>
  <c r="L67" i="11"/>
  <c r="L66" i="11"/>
  <c r="L65" i="11"/>
  <c r="L64" i="11"/>
  <c r="L63" i="11"/>
  <c r="L62" i="11"/>
  <c r="L61" i="11"/>
  <c r="L60" i="11"/>
  <c r="L59" i="11"/>
  <c r="L58" i="11"/>
  <c r="L57" i="11"/>
  <c r="L56" i="11"/>
  <c r="L55" i="11"/>
  <c r="L54" i="11"/>
  <c r="L53" i="11"/>
  <c r="L52" i="11"/>
  <c r="L51" i="11"/>
  <c r="L50" i="11"/>
  <c r="L49" i="11"/>
  <c r="L48" i="11"/>
  <c r="L47" i="11"/>
  <c r="L46" i="11"/>
  <c r="L45" i="11"/>
  <c r="L44" i="11"/>
  <c r="L42" i="11"/>
  <c r="L41" i="11"/>
  <c r="L40" i="11"/>
  <c r="L39" i="11"/>
  <c r="L38" i="11"/>
  <c r="L37" i="11"/>
  <c r="L36" i="11"/>
  <c r="L35" i="11"/>
  <c r="L34" i="11"/>
  <c r="L33" i="11"/>
  <c r="L31" i="11"/>
  <c r="L30" i="11"/>
  <c r="L29" i="11"/>
  <c r="L28" i="11"/>
  <c r="L27" i="11"/>
  <c r="L26" i="11"/>
  <c r="L25" i="11"/>
  <c r="L24" i="11"/>
  <c r="L22" i="11"/>
  <c r="L21" i="11"/>
  <c r="L20" i="11"/>
  <c r="L19" i="11"/>
  <c r="L18" i="11"/>
  <c r="L16" i="11"/>
  <c r="L15" i="11"/>
  <c r="L14" i="11"/>
  <c r="L12" i="11"/>
  <c r="L11" i="11"/>
  <c r="L10" i="11"/>
  <c r="H69" i="11" l="1"/>
  <c r="H67" i="11"/>
  <c r="H65" i="11"/>
  <c r="H63" i="11"/>
  <c r="H61" i="11"/>
  <c r="H59" i="11"/>
  <c r="H57" i="11"/>
  <c r="H55" i="11"/>
  <c r="H53" i="11"/>
  <c r="H51" i="11"/>
  <c r="H49" i="11"/>
  <c r="H47" i="11"/>
  <c r="H45" i="11"/>
  <c r="H42" i="11"/>
  <c r="H40" i="11"/>
  <c r="H38" i="11"/>
  <c r="H36" i="11"/>
  <c r="H34" i="11"/>
  <c r="I122" i="11"/>
  <c r="I121" i="11"/>
  <c r="I120" i="11"/>
  <c r="I119" i="11"/>
  <c r="I118" i="11"/>
  <c r="I117" i="11"/>
  <c r="I116" i="11"/>
  <c r="I114" i="11"/>
  <c r="I113" i="11"/>
  <c r="I112" i="11"/>
  <c r="I111" i="11"/>
  <c r="I109" i="11"/>
  <c r="I108" i="11"/>
  <c r="I107" i="11"/>
  <c r="I106" i="11"/>
  <c r="I105" i="11"/>
  <c r="I104" i="11"/>
  <c r="I103" i="11"/>
  <c r="I102" i="11"/>
  <c r="I101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1" i="11"/>
  <c r="I80" i="11"/>
  <c r="I79" i="11"/>
  <c r="I78" i="11"/>
  <c r="I77" i="11"/>
  <c r="I76" i="11"/>
  <c r="I75" i="11"/>
  <c r="I74" i="11"/>
  <c r="I73" i="11"/>
  <c r="I72" i="11"/>
  <c r="I71" i="11"/>
  <c r="I68" i="11"/>
  <c r="I66" i="11"/>
  <c r="I64" i="11"/>
  <c r="I62" i="11"/>
  <c r="I60" i="11"/>
  <c r="I58" i="11"/>
  <c r="I56" i="11"/>
  <c r="I54" i="11"/>
  <c r="I52" i="11"/>
  <c r="I50" i="11"/>
  <c r="I48" i="11"/>
  <c r="I46" i="11"/>
  <c r="I44" i="11"/>
  <c r="I41" i="11"/>
  <c r="I39" i="11"/>
  <c r="I37" i="11"/>
  <c r="I35" i="11"/>
  <c r="I33" i="11"/>
  <c r="I31" i="11"/>
  <c r="I30" i="11"/>
  <c r="I29" i="11"/>
  <c r="I28" i="11"/>
  <c r="I27" i="11"/>
  <c r="I26" i="11"/>
  <c r="I25" i="11"/>
  <c r="I24" i="11"/>
  <c r="I22" i="11"/>
  <c r="I21" i="11"/>
  <c r="I20" i="11"/>
  <c r="I19" i="11"/>
  <c r="I18" i="11"/>
  <c r="I16" i="11"/>
  <c r="I15" i="11"/>
  <c r="I14" i="11"/>
  <c r="I12" i="11"/>
  <c r="I11" i="11"/>
  <c r="I10" i="11"/>
  <c r="M2" i="12"/>
  <c r="J2" i="12"/>
  <c r="L53" i="12"/>
  <c r="L52" i="12"/>
  <c r="L51" i="12"/>
  <c r="L50" i="12"/>
  <c r="L49" i="12"/>
  <c r="L48" i="12"/>
  <c r="L47" i="12"/>
  <c r="L46" i="12"/>
  <c r="L45" i="12"/>
  <c r="L44" i="12"/>
  <c r="L42" i="12"/>
  <c r="L41" i="12"/>
  <c r="L40" i="12"/>
  <c r="L39" i="12"/>
  <c r="L38" i="12"/>
  <c r="L37" i="12"/>
  <c r="L36" i="12"/>
  <c r="L35" i="12"/>
  <c r="L34" i="12"/>
  <c r="L33" i="12"/>
  <c r="L31" i="12"/>
  <c r="L30" i="12"/>
  <c r="L29" i="12"/>
  <c r="L28" i="12"/>
  <c r="L27" i="12"/>
  <c r="L26" i="12"/>
  <c r="L25" i="12"/>
  <c r="L24" i="12"/>
  <c r="L22" i="12"/>
  <c r="L21" i="12"/>
  <c r="L20" i="12"/>
  <c r="L19" i="12"/>
  <c r="L18" i="12"/>
  <c r="L17" i="12"/>
  <c r="L16" i="12"/>
  <c r="L15" i="12"/>
  <c r="L13" i="12"/>
  <c r="L12" i="12"/>
  <c r="L11" i="12"/>
  <c r="L10" i="12"/>
  <c r="I12" i="12"/>
  <c r="I10" i="12"/>
  <c r="J10" i="12" s="1"/>
  <c r="K10" i="12" s="1"/>
  <c r="I21" i="12"/>
  <c r="J21" i="12" s="1"/>
  <c r="K21" i="12" s="1"/>
  <c r="I19" i="12"/>
  <c r="J19" i="12" s="1"/>
  <c r="K19" i="12" s="1"/>
  <c r="I17" i="12"/>
  <c r="J17" i="12" s="1"/>
  <c r="K17" i="12" s="1"/>
  <c r="I15" i="12"/>
  <c r="J15" i="12" s="1"/>
  <c r="K15" i="12" s="1"/>
  <c r="I30" i="12"/>
  <c r="J30" i="12" s="1"/>
  <c r="K30" i="12" s="1"/>
  <c r="I28" i="12"/>
  <c r="J28" i="12" s="1"/>
  <c r="K28" i="12" s="1"/>
  <c r="I26" i="12"/>
  <c r="J26" i="12" s="1"/>
  <c r="K26" i="12" s="1"/>
  <c r="I24" i="12"/>
  <c r="I41" i="12"/>
  <c r="I39" i="12"/>
  <c r="J39" i="12" s="1"/>
  <c r="K39" i="12" s="1"/>
  <c r="I37" i="12"/>
  <c r="J37" i="12" s="1"/>
  <c r="K37" i="12" s="1"/>
  <c r="I35" i="12"/>
  <c r="J35" i="12" s="1"/>
  <c r="K35" i="12" s="1"/>
  <c r="I33" i="12"/>
  <c r="J33" i="12" s="1"/>
  <c r="K33" i="12" s="1"/>
  <c r="I52" i="12"/>
  <c r="J52" i="12" s="1"/>
  <c r="K52" i="12" s="1"/>
  <c r="I50" i="12"/>
  <c r="J50" i="12" s="1"/>
  <c r="K50" i="12" s="1"/>
  <c r="I48" i="12"/>
  <c r="J48" i="12" s="1"/>
  <c r="K48" i="12" s="1"/>
  <c r="I46" i="12"/>
  <c r="J46" i="12" s="1"/>
  <c r="K46" i="12" s="1"/>
  <c r="I44" i="12"/>
  <c r="J12" i="12"/>
  <c r="K12" i="12" s="1"/>
  <c r="J24" i="12"/>
  <c r="K24" i="12" s="1"/>
  <c r="J41" i="12"/>
  <c r="K41" i="12" s="1"/>
  <c r="J44" i="12" l="1"/>
  <c r="K44" i="12" s="1"/>
  <c r="E2" i="12" s="1"/>
  <c r="J68" i="11"/>
  <c r="K68" i="11" s="1"/>
  <c r="J66" i="11"/>
  <c r="K66" i="11" s="1"/>
  <c r="J64" i="11"/>
  <c r="K64" i="11" s="1"/>
  <c r="J62" i="11"/>
  <c r="K62" i="11" s="1"/>
  <c r="J60" i="11"/>
  <c r="K60" i="11" s="1"/>
  <c r="J58" i="11"/>
  <c r="K58" i="11" s="1"/>
  <c r="J56" i="11"/>
  <c r="K56" i="11" s="1"/>
  <c r="J54" i="11"/>
  <c r="K54" i="11" s="1"/>
  <c r="J52" i="11"/>
  <c r="K52" i="11" s="1"/>
  <c r="J50" i="11"/>
  <c r="K50" i="11" s="1"/>
  <c r="J48" i="11"/>
  <c r="K48" i="11" s="1"/>
  <c r="J46" i="11"/>
  <c r="K46" i="11" s="1"/>
  <c r="J44" i="11"/>
  <c r="K44" i="11" s="1"/>
  <c r="J41" i="11"/>
  <c r="K41" i="11" s="1"/>
  <c r="J39" i="11"/>
  <c r="K39" i="11" s="1"/>
  <c r="J37" i="11"/>
  <c r="K37" i="11" s="1"/>
  <c r="J35" i="11"/>
  <c r="K35" i="11" s="1"/>
  <c r="J122" i="11"/>
  <c r="K122" i="11" s="1"/>
  <c r="J121" i="11"/>
  <c r="K121" i="11" s="1"/>
  <c r="J120" i="11"/>
  <c r="K120" i="11" s="1"/>
  <c r="J119" i="11"/>
  <c r="K119" i="11" s="1"/>
  <c r="J118" i="11"/>
  <c r="K118" i="11" s="1"/>
  <c r="J117" i="11"/>
  <c r="K117" i="11" s="1"/>
  <c r="J116" i="11"/>
  <c r="K116" i="11" s="1"/>
  <c r="J114" i="11"/>
  <c r="K114" i="11" s="1"/>
  <c r="J113" i="11"/>
  <c r="K113" i="11" s="1"/>
  <c r="J112" i="11"/>
  <c r="K112" i="11" s="1"/>
  <c r="J111" i="11"/>
  <c r="K111" i="11" s="1"/>
  <c r="J109" i="11"/>
  <c r="K109" i="11" s="1"/>
  <c r="J108" i="11"/>
  <c r="K108" i="11" s="1"/>
  <c r="J107" i="11"/>
  <c r="K107" i="11" s="1"/>
  <c r="J106" i="11"/>
  <c r="K106" i="11" s="1"/>
  <c r="J105" i="11"/>
  <c r="K105" i="11" s="1"/>
  <c r="J104" i="11"/>
  <c r="K104" i="11" s="1"/>
  <c r="J103" i="11"/>
  <c r="K103" i="11" s="1"/>
  <c r="J102" i="11"/>
  <c r="K102" i="11" s="1"/>
  <c r="J101" i="11"/>
  <c r="K101" i="11" s="1"/>
  <c r="J99" i="11"/>
  <c r="K99" i="11" s="1"/>
  <c r="J98" i="11"/>
  <c r="K98" i="11" s="1"/>
  <c r="J97" i="11"/>
  <c r="K97" i="11" s="1"/>
  <c r="J96" i="11"/>
  <c r="K96" i="11" s="1"/>
  <c r="J95" i="11"/>
  <c r="K95" i="11" s="1"/>
  <c r="J94" i="11"/>
  <c r="K94" i="11" s="1"/>
  <c r="J93" i="11"/>
  <c r="K93" i="11" s="1"/>
  <c r="J92" i="11"/>
  <c r="K92" i="11" s="1"/>
  <c r="J91" i="11"/>
  <c r="K91" i="11" s="1"/>
  <c r="J90" i="11"/>
  <c r="K90" i="11" s="1"/>
  <c r="J89" i="11"/>
  <c r="K89" i="11" s="1"/>
  <c r="J88" i="11"/>
  <c r="K88" i="11" s="1"/>
  <c r="J87" i="11"/>
  <c r="K87" i="11" s="1"/>
  <c r="J86" i="11"/>
  <c r="K86" i="11" s="1"/>
  <c r="J85" i="11"/>
  <c r="K85" i="11" s="1"/>
  <c r="J84" i="11"/>
  <c r="K84" i="11" s="1"/>
  <c r="J83" i="11"/>
  <c r="K83" i="11" s="1"/>
  <c r="J81" i="11"/>
  <c r="K81" i="11" s="1"/>
  <c r="J80" i="11"/>
  <c r="K80" i="11" s="1"/>
  <c r="J79" i="11"/>
  <c r="K79" i="11" s="1"/>
  <c r="J78" i="11"/>
  <c r="K78" i="11" s="1"/>
  <c r="J77" i="11"/>
  <c r="K77" i="11" s="1"/>
  <c r="J76" i="11"/>
  <c r="K76" i="11" s="1"/>
  <c r="J75" i="11"/>
  <c r="K75" i="11" s="1"/>
  <c r="J74" i="11"/>
  <c r="K74" i="11" s="1"/>
  <c r="J73" i="11"/>
  <c r="K73" i="11" s="1"/>
  <c r="J72" i="11"/>
  <c r="K72" i="11" s="1"/>
  <c r="J71" i="11"/>
  <c r="K71" i="11" s="1"/>
  <c r="J33" i="11"/>
  <c r="K33" i="11" s="1"/>
  <c r="J31" i="11"/>
  <c r="K31" i="11" s="1"/>
  <c r="J30" i="11"/>
  <c r="K30" i="11" s="1"/>
  <c r="J29" i="11"/>
  <c r="K29" i="11" s="1"/>
  <c r="J28" i="11"/>
  <c r="K28" i="11" s="1"/>
  <c r="J27" i="11"/>
  <c r="K27" i="11" s="1"/>
  <c r="J26" i="11"/>
  <c r="K26" i="11" s="1"/>
  <c r="J25" i="11"/>
  <c r="K25" i="11" s="1"/>
  <c r="J24" i="11"/>
  <c r="K24" i="11" s="1"/>
  <c r="J22" i="11"/>
  <c r="K22" i="11" s="1"/>
  <c r="J21" i="11"/>
  <c r="K21" i="11" s="1"/>
  <c r="J20" i="11"/>
  <c r="K20" i="11" s="1"/>
  <c r="J19" i="11"/>
  <c r="K19" i="11" s="1"/>
  <c r="J18" i="11"/>
  <c r="K18" i="11" s="1"/>
  <c r="J16" i="11"/>
  <c r="K16" i="11" s="1"/>
  <c r="J15" i="11"/>
  <c r="K15" i="11" s="1"/>
  <c r="J14" i="11"/>
  <c r="K14" i="11" s="1"/>
  <c r="J12" i="11"/>
  <c r="K12" i="11" s="1"/>
  <c r="J11" i="11"/>
  <c r="K11" i="11" s="1"/>
  <c r="J10" i="11"/>
  <c r="K10" i="11" s="1"/>
  <c r="F2" i="11" s="1"/>
  <c r="J90" i="8"/>
  <c r="K90" i="8" s="1"/>
  <c r="J88" i="8"/>
  <c r="K88" i="8" s="1"/>
  <c r="J86" i="8"/>
  <c r="K86" i="8" s="1"/>
  <c r="J84" i="8"/>
  <c r="K84" i="8" s="1"/>
  <c r="J81" i="8"/>
  <c r="K81" i="8" s="1"/>
  <c r="J79" i="8"/>
  <c r="K79" i="8" s="1"/>
  <c r="J77" i="8"/>
  <c r="K77" i="8" s="1"/>
  <c r="J75" i="8"/>
  <c r="K75" i="8" s="1"/>
  <c r="J73" i="8"/>
  <c r="K73" i="8" s="1"/>
  <c r="J71" i="8"/>
  <c r="K71" i="8" s="1"/>
  <c r="J69" i="8"/>
  <c r="K69" i="8" s="1"/>
  <c r="J67" i="8"/>
  <c r="K67" i="8" s="1"/>
  <c r="J65" i="8"/>
  <c r="K65" i="8" s="1"/>
  <c r="J63" i="8"/>
  <c r="K63" i="8" s="1"/>
  <c r="J60" i="8" l="1"/>
  <c r="K60" i="8" s="1"/>
  <c r="J58" i="8"/>
  <c r="K58" i="8" s="1"/>
  <c r="J56" i="8"/>
  <c r="K56" i="8" s="1"/>
  <c r="K54" i="8"/>
  <c r="K52" i="8"/>
  <c r="K50" i="8"/>
  <c r="K48" i="8"/>
  <c r="K46" i="8"/>
  <c r="K44" i="8"/>
  <c r="K42" i="8"/>
  <c r="J38" i="8"/>
  <c r="K38" i="8" s="1"/>
  <c r="J35" i="8"/>
  <c r="K35" i="8" s="1"/>
  <c r="J32" i="8"/>
  <c r="K32" i="8" s="1"/>
  <c r="J29" i="8"/>
  <c r="K29" i="8" s="1"/>
  <c r="J26" i="8"/>
  <c r="K26" i="8" s="1"/>
  <c r="J23" i="8"/>
  <c r="K23" i="8" s="1"/>
  <c r="J20" i="8"/>
  <c r="K20" i="8" s="1"/>
  <c r="J17" i="8"/>
  <c r="K17" i="8" s="1"/>
  <c r="J14" i="8"/>
  <c r="K14" i="8" s="1"/>
  <c r="F2" i="8" l="1"/>
  <c r="G91" i="8"/>
  <c r="G89" i="8"/>
  <c r="G87" i="8"/>
  <c r="G85" i="8"/>
  <c r="G82" i="8"/>
  <c r="G80" i="8"/>
  <c r="G78" i="8"/>
  <c r="G76" i="8"/>
  <c r="G74" i="8"/>
  <c r="G72" i="8"/>
  <c r="G70" i="8"/>
  <c r="G68" i="8"/>
  <c r="G66" i="8"/>
  <c r="G64" i="8"/>
  <c r="G47" i="8" l="1"/>
  <c r="G51" i="8"/>
  <c r="G55" i="8"/>
  <c r="G59" i="8"/>
  <c r="G49" i="8"/>
  <c r="G53" i="8"/>
  <c r="G57" i="8"/>
  <c r="G61" i="8"/>
</calcChain>
</file>

<file path=xl/sharedStrings.xml><?xml version="1.0" encoding="utf-8"?>
<sst xmlns="http://schemas.openxmlformats.org/spreadsheetml/2006/main" count="1063" uniqueCount="537">
  <si>
    <t>КАНАЛЬНЫЕ</t>
  </si>
  <si>
    <t>-</t>
  </si>
  <si>
    <t>НАПОЛЬНО-ПОТОЛОЧНЫЕ</t>
  </si>
  <si>
    <t>КАНАЛЬНЫЕ ВЫСОКОНАПОРНЫЕ</t>
  </si>
  <si>
    <t xml:space="preserve">Сплит-система T07H-SN2/I / T07H-SN2/O  </t>
  </si>
  <si>
    <t xml:space="preserve">Сплит-система T09H-SN1/I / T09H-SN1/O  </t>
  </si>
  <si>
    <t xml:space="preserve">Сплит-система T12H-SN1/I / T12H-SN1/O  </t>
  </si>
  <si>
    <t>Сплит-система T24H-ST/I / T24H-ST/O</t>
  </si>
  <si>
    <t>Сплит-система T18H-ST/I / T18H-ST/O</t>
  </si>
  <si>
    <t>Сплит-система T07H-ST/I / T07H-ST/O</t>
  </si>
  <si>
    <t>Сплит-система T18H-SN/I / T18H-SN/O</t>
  </si>
  <si>
    <t>Сплит-система T12H-SU/I-S / T12H-SU/O</t>
  </si>
  <si>
    <t>Сплит-система T12H-SU/I-W / T12H-SU/O</t>
  </si>
  <si>
    <t>Сплит-система T09H-SU/I-S / T09H-SU/O</t>
  </si>
  <si>
    <t>Сплит-система T09H-SU/I-W / T09H-SU/O</t>
  </si>
  <si>
    <t>Сплит-система T12H-ST/I / T12H-ST/O</t>
  </si>
  <si>
    <t>Сплит-система T09H-ST/I / T09H-ST/O</t>
  </si>
  <si>
    <t>Сплит-система T24H-SN/I / T24H-SN/O</t>
  </si>
  <si>
    <t>Сплит-система T09H-STEu/I / T09H-STEu/O</t>
  </si>
  <si>
    <t>Сплит-система T12H-STEu/I / T12H-STEu/O</t>
  </si>
  <si>
    <t>Сплит-система T18H-STEu/I / T18H-STEu/O</t>
  </si>
  <si>
    <t>Сплит-система T24H-STEu/I / T24H-STEu/O</t>
  </si>
  <si>
    <t>Сплит-система T09H-SM/I / T09H-SM/O</t>
  </si>
  <si>
    <t>Сплит-система T12H-SM/I / T12H-SM/O</t>
  </si>
  <si>
    <t>Сплит-система T12H-LC/I_T02P-LC_T12H-LU/O</t>
  </si>
  <si>
    <t>Сплит-система T18H-LC/I_T02P-LC_T18H-LU/O</t>
  </si>
  <si>
    <t>Сплит-система T24H-LC/I_T01P-LC_T24H-LU/O</t>
  </si>
  <si>
    <t>Сплит-система T30H-LC/I_T01P-LC_T30H-LU/O</t>
  </si>
  <si>
    <t>Сплит-система T36H-LC/I_T01P-LC_T36H-LU/O</t>
  </si>
  <si>
    <t>Сплит-система T36H-LC/I_T01P-LC_T36H-LU/O2</t>
  </si>
  <si>
    <t>Сплит-система T42H-LC/I_T01P-LC_T42H-LU/O</t>
  </si>
  <si>
    <t>Сплит-система T48H-LC/I_T01P-LC_T48H-LU/O</t>
  </si>
  <si>
    <t>Сплит-система T09H-LF/I_T09H-LU/O</t>
  </si>
  <si>
    <t>Сплит-система T12H-LF/I_T12H-LU/O</t>
  </si>
  <si>
    <t>Сплит-система T18H-LF/I_T18H-LU/O</t>
  </si>
  <si>
    <t>Сплит-система T24H-LF/I_T24H-LU/O</t>
  </si>
  <si>
    <t>Сплит-система T30H-LF/I_T30H-LU/O</t>
  </si>
  <si>
    <t>Сплит-система T36H-LF/I_T36H-LU/O</t>
  </si>
  <si>
    <t>Сплит-система T36H-LF/I_T36H-LU/O2</t>
  </si>
  <si>
    <t>Сплит-система T42H-LF/I_T42H-LU/O</t>
  </si>
  <si>
    <t>Сплит-система T48H-LF/I_T48H-LU/O</t>
  </si>
  <si>
    <t>Сплит-система T60H-LF/I_T60H-LU/O2</t>
  </si>
  <si>
    <t>Сплит-система T09H-LD/I_T09H-LU/O</t>
  </si>
  <si>
    <t>Сплит-система T12H-LD/I_T12H-LU/O</t>
  </si>
  <si>
    <t>Сплит-система T18H-LD/I_T18H-LU/O</t>
  </si>
  <si>
    <t>Сплит-система T24H-LD/I_T24H-LU/O</t>
  </si>
  <si>
    <t>Сплит-система T30H-LD/I_T30H-LU/O</t>
  </si>
  <si>
    <t>Сплит-система T36H-LD/I_T36H-LU/O</t>
  </si>
  <si>
    <t>Сплит-система T36H-LD/I_T36H-LU/O2</t>
  </si>
  <si>
    <t>Сплит-система T42H-LD/I_T42H-LU/O</t>
  </si>
  <si>
    <t>Сплит-система T48H-LD/I_T48H-LU/O</t>
  </si>
  <si>
    <t>Сплит-система T60H-LD/I2_T60H-LU/O2</t>
  </si>
  <si>
    <t>Сплит-система TFR20B</t>
  </si>
  <si>
    <t>Сплит-система TFR25C</t>
  </si>
  <si>
    <t>Сплит-система TFR30B</t>
  </si>
  <si>
    <t>Сплит-система TFR40B</t>
  </si>
  <si>
    <t>Блок наружный T14H-FM4/O</t>
  </si>
  <si>
    <t>Блок наружный T18H-FM4/O</t>
  </si>
  <si>
    <t>Блок наружный T21H-FM/O</t>
  </si>
  <si>
    <t>Блок наружный T24H-FM4/O</t>
  </si>
  <si>
    <t>Блок наружный T28H-FM4/O</t>
  </si>
  <si>
    <t>Блок наружный T36H-FM4/O</t>
  </si>
  <si>
    <t>Блок наружный T42H-FM/O</t>
  </si>
  <si>
    <t>НАРУЖНЫЕ БЛОКИ FREE MATCH SUPER</t>
  </si>
  <si>
    <t>Блок наружный T42H-FMS/O</t>
  </si>
  <si>
    <t>Блок наружный T48H-FMS/O</t>
  </si>
  <si>
    <t>Блок наружный T48H-FMS/O2</t>
  </si>
  <si>
    <t>Блок наружный T56H-FMS/O</t>
  </si>
  <si>
    <t>Блок наружный T56H-FMS/O2</t>
  </si>
  <si>
    <t>Блок внутренний T07H-STEu/I</t>
  </si>
  <si>
    <t>Блок внутренний T09H-STEu/I</t>
  </si>
  <si>
    <t>Блок внутренний T12H-STEu/I</t>
  </si>
  <si>
    <t>Блок внутренний T18H-STEu/I</t>
  </si>
  <si>
    <t>Блок внутренний T24H-STEu/I</t>
  </si>
  <si>
    <t>Блок внутренний T24H-FC/I</t>
  </si>
  <si>
    <t>Блок внутренний T09H-FF/I</t>
  </si>
  <si>
    <t>Блок внутренний T12H-FF/I</t>
  </si>
  <si>
    <t>Блок внутренний T18H-FF/I</t>
  </si>
  <si>
    <t>Блок внутренний T24H-FF/I</t>
  </si>
  <si>
    <t>Блок внутренний T09H-FD/I</t>
  </si>
  <si>
    <t>Блок внутренний T12H-FD/I</t>
  </si>
  <si>
    <t>Блок внутренний T18H-FD/I</t>
  </si>
  <si>
    <t>Блок внутренний T21H-FD/I</t>
  </si>
  <si>
    <t>Блок внутренний T24H-FD/I</t>
  </si>
  <si>
    <t>Блок внутренний T09H-FK/I4</t>
  </si>
  <si>
    <t>Блок внутренний T12H-FK/I4</t>
  </si>
  <si>
    <t>Блок внутренний T18H-FK/I4</t>
  </si>
  <si>
    <t>Наружные блоки TMV-small</t>
  </si>
  <si>
    <t xml:space="preserve">Блок наружный TMV-H120WL/A-T </t>
  </si>
  <si>
    <t xml:space="preserve">Блок наружный TMV-H140WL/A-T </t>
  </si>
  <si>
    <t xml:space="preserve">Блок наружный TMV-H160WL/A-T </t>
  </si>
  <si>
    <t>Блок наружный TMV-224WL/A-X</t>
  </si>
  <si>
    <t>Блок наружный TMV-250WL/A-X</t>
  </si>
  <si>
    <t>Блок наружный TMV-280WL/A-X</t>
  </si>
  <si>
    <t>Наружные блоки модульные</t>
  </si>
  <si>
    <t xml:space="preserve">Блок наружный TMV-224WM/B-X </t>
  </si>
  <si>
    <t>Блок наружный TMV-280WM/B-X</t>
  </si>
  <si>
    <t>Блок наружный TMV-335WM/B-X</t>
  </si>
  <si>
    <t>Блок наружный TMV-400WM/B-X</t>
  </si>
  <si>
    <t>Блок наружный TMV-450WM/B-X</t>
  </si>
  <si>
    <t>Настенные внутренние блоки</t>
  </si>
  <si>
    <t xml:space="preserve">Блок внутренний TMV-N22G/A4A-K </t>
  </si>
  <si>
    <t>Блок внутренний TMV-N28G/A4A-K</t>
  </si>
  <si>
    <t>Блок внутренний TMV-N36G/A4A-K</t>
  </si>
  <si>
    <t>Блок внутренний TMV-N45G/A4A-K</t>
  </si>
  <si>
    <t>Блок внутренний TMV-N50G/A4A-K</t>
  </si>
  <si>
    <t>Блок внутренний TMV-N56G/A4A-K</t>
  </si>
  <si>
    <t>Блок внутренний TMV-N63G/A4A-K</t>
  </si>
  <si>
    <t>Блок внутренний TMV-N71G/A4A-K</t>
  </si>
  <si>
    <t>Компактные кассетные (с водяным насосом) внутренние блоки</t>
  </si>
  <si>
    <t>Кассетные (с водяным насосом) внутренние блоки</t>
  </si>
  <si>
    <t>Канальные (с водяным насосом) внутренние блоки</t>
  </si>
  <si>
    <t>Блок внутренний TMV-ND56PHS/A-T</t>
  </si>
  <si>
    <t>Блок внутренний TMV-ND63PHS/A-T</t>
  </si>
  <si>
    <t>Блок внутренний TMV-ND71PHS/A-T</t>
  </si>
  <si>
    <t>Блок внутренний TMV-ND80PHS/A-T</t>
  </si>
  <si>
    <t>Блок внутренний TMV-ND90PHS/A-T</t>
  </si>
  <si>
    <t>Блок внутренний TMV-ND100PHS/A-T</t>
  </si>
  <si>
    <t>Блок внутренний TMV-ND112PHS/A-T</t>
  </si>
  <si>
    <t>Блок внутренний TMV-ND125PHS/A-T</t>
  </si>
  <si>
    <t>Блок внутренний TMV-ND140PHS/A-T</t>
  </si>
  <si>
    <t>Блок внутренний TMV-ND224PH/A-T</t>
  </si>
  <si>
    <t xml:space="preserve">Блок внутренний TMV-ND280PH/A-T </t>
  </si>
  <si>
    <t>Блок внутренний TMV-ND22PLS/A-T</t>
  </si>
  <si>
    <t>Блок внутренний TMV-ND25PLS/A-T</t>
  </si>
  <si>
    <t>Блок внутренний TMV-ND28PLS/A-T</t>
  </si>
  <si>
    <t>Блок внутренний TMV-ND32PLS/A-T</t>
  </si>
  <si>
    <t>Блок внутренний TMV-ND36PLS/A-T</t>
  </si>
  <si>
    <t>Блок внутренний TMV-ND40PLS/A-T</t>
  </si>
  <si>
    <t>Блок внутренний TMV-ND45PLS/A-T</t>
  </si>
  <si>
    <t>Блок внутренний TMV-ND50PLS/A-T</t>
  </si>
  <si>
    <t>Блок внутренний TMV-ND56PLS/A-T</t>
  </si>
  <si>
    <t>Блок внутренний TMV-ND63PLS/A-T</t>
  </si>
  <si>
    <t>Блок внутренний TMV-ND71PLS/A-T</t>
  </si>
  <si>
    <t>Блок внутренний TMV-ND80PLS/A-T</t>
  </si>
  <si>
    <t>Блок внутренний TMV-ND90PLS/A-T</t>
  </si>
  <si>
    <t>Блок внутренний TMV-ND100PLS/A-T</t>
  </si>
  <si>
    <t>Блок внутренний TMV-ND112PLS/A-T</t>
  </si>
  <si>
    <t>Блок внутренний TMV-ND125PLS/A-T</t>
  </si>
  <si>
    <t>Блок внутренний TMV-ND140PLS/A-T</t>
  </si>
  <si>
    <t>Напольно-потолочные внутренние блоки</t>
  </si>
  <si>
    <t xml:space="preserve">Блок внутренний TMV-ND28ZD/A-T   </t>
  </si>
  <si>
    <t>Блок внутренний TMV-ND36ZD/A-T</t>
  </si>
  <si>
    <t xml:space="preserve">Блок внутренний TMV-ND50ZD/A-T   </t>
  </si>
  <si>
    <t>Блок внутренний TMV-ND63ZD/A-T</t>
  </si>
  <si>
    <t>Блок внутренний TMV-ND71ZD/A-T</t>
  </si>
  <si>
    <t xml:space="preserve">Блок внутренний TMV-ND90ZD/A-T   </t>
  </si>
  <si>
    <t>Блок внутренний TMV-ND112ZD/A-T</t>
  </si>
  <si>
    <t xml:space="preserve">Блок внутренний TMV-ND125ZD/A-T   </t>
  </si>
  <si>
    <t>Блок внутренний TMV-ND140ZD/A-T</t>
  </si>
  <si>
    <t>Канальные с подмесом воздуха</t>
  </si>
  <si>
    <t>Блок внутренний TMV-NX140P/A(X1.2)-K</t>
  </si>
  <si>
    <t>Блок внутренний TMV-NX224P/A(X2.0)-M</t>
  </si>
  <si>
    <t xml:space="preserve">Блок внутренний TMV-NX280P/A(X2.5)-M   </t>
  </si>
  <si>
    <t xml:space="preserve">Блок внутренний TMV-NX280P/A(X3.0)-M </t>
  </si>
  <si>
    <t>Рекуператоры</t>
  </si>
  <si>
    <t>НАРУЖНЫЕ БЛОКИ FREE MATCH EURO</t>
  </si>
  <si>
    <t>Наружные блоки TMV-Individual</t>
  </si>
  <si>
    <t>Сплит-система T24H-FI</t>
  </si>
  <si>
    <t xml:space="preserve">Сплит-система T60H-LC/I_TC-05R-LC_T60H-LU/O2 </t>
  </si>
  <si>
    <t>Панель T01P-LC</t>
  </si>
  <si>
    <t>Рекуператор TVHBQ-D3.5-K</t>
  </si>
  <si>
    <t>Рекуператор TVHBQ-D5-K</t>
  </si>
  <si>
    <t>Рекуператор TVHBQ-D8-K</t>
  </si>
  <si>
    <t>Рекуператор TVHBQ-D10-K</t>
  </si>
  <si>
    <t>Рекуператор TVHBQ-D15-M</t>
  </si>
  <si>
    <t>Рекуператор TVHBQ-D20-M</t>
  </si>
  <si>
    <t>Рекуператор TVHBQ-D30-M</t>
  </si>
  <si>
    <t>Блок внутренний TMV-ND22T/B-T / TC03</t>
  </si>
  <si>
    <t>Блок внутренний TMV-ND28T/B-T / TC03</t>
  </si>
  <si>
    <t>Блок внутренний TMV-ND36T/B-T / TC03</t>
  </si>
  <si>
    <t>Блок внутренний TMV-ND45T/B-T / TC03</t>
  </si>
  <si>
    <t>Блок внутренний TMV-ND50T/B-T / TC03</t>
  </si>
  <si>
    <t>Блок внутренний TMV-ND28T/A-T / TC01</t>
  </si>
  <si>
    <t>Блок внутренний TMV-ND36T/A-T / TC01</t>
  </si>
  <si>
    <t>Блок внутренний TMV-ND45T/A-T / TC01</t>
  </si>
  <si>
    <t>Блок внутренний TMV-ND50T/A-T / TC01</t>
  </si>
  <si>
    <t>Блок внутренний TMV-ND56T/A-T / TC01</t>
  </si>
  <si>
    <t>Блок внутренний TMV-ND63T/A-T / TC01</t>
  </si>
  <si>
    <t>Блок внутренний TMV-ND71T/A-T / TC01</t>
  </si>
  <si>
    <t>Блок внутренний TMV-ND80T/A-T / TC01</t>
  </si>
  <si>
    <t>Блок внутренний TMV-ND90T/A-T / TC01</t>
  </si>
  <si>
    <t>Блок внутренний TMV-ND100T/A-T / TC01</t>
  </si>
  <si>
    <t>Блок внутренний TMV-ND112T/A-T / TC01</t>
  </si>
  <si>
    <t>Блок внутренний TMV-ND125T/A-T / TC01</t>
  </si>
  <si>
    <t>Блок внутренний TMV-ND140T/A-T / TC01</t>
  </si>
  <si>
    <t xml:space="preserve">Блок внутренний T24H-FC/I / TB04 </t>
  </si>
  <si>
    <t xml:space="preserve">Блок внутренний T18H-FC/I4 / TB04 </t>
  </si>
  <si>
    <t xml:space="preserve">Блок внутренний T12H-FC/I4 / TB04 </t>
  </si>
  <si>
    <t>Ваша скидка</t>
  </si>
  <si>
    <t>Модель</t>
  </si>
  <si>
    <t>Мощность, кВт</t>
  </si>
  <si>
    <t>Энергоэффективность</t>
  </si>
  <si>
    <t>Кол-во</t>
  </si>
  <si>
    <t>Цена комплекта с вашей скидкой, USD</t>
  </si>
  <si>
    <t>Сумма с учетом вашей скидки</t>
  </si>
  <si>
    <t>Объём за ед., куб.м.</t>
  </si>
  <si>
    <t>Вес в кг за ед., брутто</t>
  </si>
  <si>
    <t>Наружный</t>
  </si>
  <si>
    <t>охл.</t>
  </si>
  <si>
    <t>нагрев</t>
  </si>
  <si>
    <t>EER</t>
  </si>
  <si>
    <t>COP</t>
  </si>
  <si>
    <t>Розница РФ</t>
  </si>
  <si>
    <t xml:space="preserve">Внутрений </t>
  </si>
  <si>
    <t>T07H-SN2/I</t>
  </si>
  <si>
    <t xml:space="preserve">T07H-SN2/O  </t>
  </si>
  <si>
    <t>T09H-SN1/I</t>
  </si>
  <si>
    <t xml:space="preserve">T09H-SN1/O  </t>
  </si>
  <si>
    <t>T12H-SN1/I</t>
  </si>
  <si>
    <t xml:space="preserve">T12H-SN1/O  </t>
  </si>
  <si>
    <t xml:space="preserve">T18H-SN/I </t>
  </si>
  <si>
    <t>T18H-SN/O</t>
  </si>
  <si>
    <t xml:space="preserve">T24H-SN/I </t>
  </si>
  <si>
    <t>T24H-SN/O</t>
  </si>
  <si>
    <t>NATAL</t>
  </si>
  <si>
    <t>TWIST</t>
  </si>
  <si>
    <t>TWIST EURO</t>
  </si>
  <si>
    <t>U-GRACE</t>
  </si>
  <si>
    <r>
      <t>U-MIGHT</t>
    </r>
    <r>
      <rPr>
        <b/>
        <sz val="10"/>
        <color rgb="FFFF0000"/>
        <rFont val="Calibri"/>
        <family val="2"/>
        <charset val="204"/>
        <scheme val="minor"/>
      </rPr>
      <t/>
    </r>
  </si>
  <si>
    <t>Панель</t>
  </si>
  <si>
    <t>Блок распределитель FXA2A-K</t>
  </si>
  <si>
    <t>Блок распределитель FXA2B-K</t>
  </si>
  <si>
    <t>Блок распределитель FXA3A-K</t>
  </si>
  <si>
    <t>Блок распределитель FXA3B-K</t>
  </si>
  <si>
    <t>Блок распределитель FXB3A-K</t>
  </si>
  <si>
    <t>Блок распределитель FXB5A-K</t>
  </si>
  <si>
    <t>НАСТЕННЫЕ ВНУТРЕННИЕ БЛОКИ СЕРИИ TWIST</t>
  </si>
  <si>
    <t>T12H-FC/I4</t>
  </si>
  <si>
    <t>TB04</t>
  </si>
  <si>
    <t>T18H-FC/I4</t>
  </si>
  <si>
    <t>T24H-FC/I</t>
  </si>
  <si>
    <t>БЛОКИ РАСПРЕДИЛИТЕЛИ FREE MATCH SUPER</t>
  </si>
  <si>
    <t>КАССЕТНЫЕ ВНУТРЕННИЕ БЛОКИ</t>
  </si>
  <si>
    <t>НАПОЛЬНО-ПОТОЛОЧНЫЕ ВНУТРЕННИЕ БЛОКИ</t>
  </si>
  <si>
    <t>КАНАЛЬНЫЕ ВНУТРЕННИЕ БЛОКИ</t>
  </si>
  <si>
    <t>КОНСОЛЬНЫЕ ВНУТРЕННИЕ БЛОКИ</t>
  </si>
  <si>
    <t>КАССЕТНЫЕ СПЛИТ-СИСТЕМЫ</t>
  </si>
  <si>
    <t>T12H-LC/I</t>
  </si>
  <si>
    <t>T18H-LC/I</t>
  </si>
  <si>
    <t>T24H-LC/I</t>
  </si>
  <si>
    <t>T30H-LC/I</t>
  </si>
  <si>
    <t>T36H-LC/I</t>
  </si>
  <si>
    <t>T42H-LC/I</t>
  </si>
  <si>
    <t>T48H-LC/I</t>
  </si>
  <si>
    <t>T60H-LC/I</t>
  </si>
  <si>
    <t>T09H-LF/I</t>
  </si>
  <si>
    <t>T12H-LF/I</t>
  </si>
  <si>
    <t>T18H-LF/I</t>
  </si>
  <si>
    <t>T24H-LF/I</t>
  </si>
  <si>
    <t>T30H-LF/I</t>
  </si>
  <si>
    <t>T36H-LF/I</t>
  </si>
  <si>
    <t>T42H-LF/I</t>
  </si>
  <si>
    <t>T48H-LF/I</t>
  </si>
  <si>
    <t>T60H-LF/I</t>
  </si>
  <si>
    <t>T09H-LD/I</t>
  </si>
  <si>
    <t>T12H-LD/I</t>
  </si>
  <si>
    <t>T18H-LD/I</t>
  </si>
  <si>
    <t>T24H-LD/I</t>
  </si>
  <si>
    <t>T30H-LD/I</t>
  </si>
  <si>
    <t>T36H-LD/I</t>
  </si>
  <si>
    <t>T42H-LD/I</t>
  </si>
  <si>
    <t>T48H-LD/I</t>
  </si>
  <si>
    <t>T60H-LD/I2</t>
  </si>
  <si>
    <t xml:space="preserve"> TFR20B/I</t>
  </si>
  <si>
    <t>TFR25C/I</t>
  </si>
  <si>
    <t>TFR30B/I</t>
  </si>
  <si>
    <t>TFR40B/I</t>
  </si>
  <si>
    <t>T24H-FI/I</t>
  </si>
  <si>
    <t>T12H-LU/O</t>
  </si>
  <si>
    <t>T18H-LU/O</t>
  </si>
  <si>
    <t>T24H-LU/O</t>
  </si>
  <si>
    <t>T30H-LU/O</t>
  </si>
  <si>
    <t>T36H-LU/O</t>
  </si>
  <si>
    <t>T36H-LU/O2</t>
  </si>
  <si>
    <t>T42H-LU/O</t>
  </si>
  <si>
    <t>T48H-LU/O</t>
  </si>
  <si>
    <t>T60H-LU/O2</t>
  </si>
  <si>
    <t>T09H-LU/O</t>
  </si>
  <si>
    <t xml:space="preserve"> T60H-LU/O2</t>
  </si>
  <si>
    <t>TFR20B/O</t>
  </si>
  <si>
    <t>TFR25C/O</t>
  </si>
  <si>
    <t>TFR30B/O</t>
  </si>
  <si>
    <t>TFR40B/O</t>
  </si>
  <si>
    <t>T24H-FI/O</t>
  </si>
  <si>
    <t>T02P-LC</t>
  </si>
  <si>
    <t>T01P-LC</t>
  </si>
  <si>
    <t>TC-05R-LC</t>
  </si>
  <si>
    <t>Блок</t>
  </si>
  <si>
    <t>TC03</t>
  </si>
  <si>
    <t>TC01</t>
  </si>
  <si>
    <t>TMV-ND22T/B-T</t>
  </si>
  <si>
    <t>TMV-ND28T/B-T</t>
  </si>
  <si>
    <t>TMV-ND36T/B-T</t>
  </si>
  <si>
    <t>TMV-ND45T/B-T</t>
  </si>
  <si>
    <t>TMV-ND50T/B-T</t>
  </si>
  <si>
    <t xml:space="preserve">TMV-ND28T/A-T </t>
  </si>
  <si>
    <t xml:space="preserve">TMV-ND45T/A-T </t>
  </si>
  <si>
    <t xml:space="preserve">TMV-ND50T/A-T </t>
  </si>
  <si>
    <t xml:space="preserve">TMV-ND56T/A-T </t>
  </si>
  <si>
    <t xml:space="preserve">TMV-ND63T/A-T </t>
  </si>
  <si>
    <t xml:space="preserve">TMV-ND71T/A-T </t>
  </si>
  <si>
    <t xml:space="preserve">TMV-ND80T/A-T </t>
  </si>
  <si>
    <t xml:space="preserve">TMV-ND90T/A-T </t>
  </si>
  <si>
    <t xml:space="preserve">TMV-ND100T/A-T </t>
  </si>
  <si>
    <t xml:space="preserve">TMV-ND112T/A-T </t>
  </si>
  <si>
    <t>TMV-ND125T/A-T</t>
  </si>
  <si>
    <t>TMV-ND140T/A-T</t>
  </si>
  <si>
    <t>EER/SEER</t>
  </si>
  <si>
    <t>COP/SCOP</t>
  </si>
  <si>
    <t>3,21</t>
  </si>
  <si>
    <t>3,61</t>
  </si>
  <si>
    <t>T07H-ST/I</t>
  </si>
  <si>
    <t>T07H-ST/O</t>
  </si>
  <si>
    <t>T09H-ST/I</t>
  </si>
  <si>
    <t>T09H-ST/O</t>
  </si>
  <si>
    <t>T12H-ST/I</t>
  </si>
  <si>
    <t>T12H-ST/O</t>
  </si>
  <si>
    <t>T18H-ST/I</t>
  </si>
  <si>
    <t>T18H-ST/O</t>
  </si>
  <si>
    <t>T24H-ST/I</t>
  </si>
  <si>
    <t>T24H-ST/O</t>
  </si>
  <si>
    <t>T09H-STEu/I</t>
  </si>
  <si>
    <t>2,6(0,6-3,2)</t>
  </si>
  <si>
    <t>3,0(0,8-3,6)</t>
  </si>
  <si>
    <t>6,1</t>
  </si>
  <si>
    <t>4,0</t>
  </si>
  <si>
    <t>T09H-STEu/O</t>
  </si>
  <si>
    <t>T12H-STEu/I</t>
  </si>
  <si>
    <t>3,5(0,6-3,9)</t>
  </si>
  <si>
    <t>4,0(,088-4,4)</t>
  </si>
  <si>
    <t>T12H-STEu/O</t>
  </si>
  <si>
    <t>T18H-STEu/I</t>
  </si>
  <si>
    <t>5,27(1,26-6,6</t>
  </si>
  <si>
    <t>5,8(1,12-6,8</t>
  </si>
  <si>
    <t>T18H-STEu/O</t>
  </si>
  <si>
    <t>T24H-STEu/I</t>
  </si>
  <si>
    <t>6,45(2,53-6,8</t>
  </si>
  <si>
    <t>7,0(2,53-7,6)</t>
  </si>
  <si>
    <t>T24H-STEu/O</t>
  </si>
  <si>
    <t xml:space="preserve"> T09H-SU/I-W</t>
  </si>
  <si>
    <t>2,6(1,0-3,41)</t>
  </si>
  <si>
    <t>2,87(0,6-3,8)</t>
  </si>
  <si>
    <t>4,01</t>
  </si>
  <si>
    <t>4,11</t>
  </si>
  <si>
    <t>T09H-SU/O</t>
  </si>
  <si>
    <t xml:space="preserve">T09H-SU/I-S </t>
  </si>
  <si>
    <t>T12H-SU/I-W</t>
  </si>
  <si>
    <t>3,5(1,3-4,0)</t>
  </si>
  <si>
    <t>3,81(0,9-4,3)</t>
  </si>
  <si>
    <t xml:space="preserve"> T12H-SU/O</t>
  </si>
  <si>
    <t>T12H-SU/I-S</t>
  </si>
  <si>
    <t>T12H-SU/O</t>
  </si>
  <si>
    <t>T09H-SM/I</t>
  </si>
  <si>
    <t>2,6(0,39-4,0)</t>
  </si>
  <si>
    <t>3,0(0,56-4,8)</t>
  </si>
  <si>
    <t>4,33</t>
  </si>
  <si>
    <t>3,75</t>
  </si>
  <si>
    <t>T09H-SM/O</t>
  </si>
  <si>
    <t>T12H-SM/I</t>
  </si>
  <si>
    <t>3,5(0,39-4,45)</t>
  </si>
  <si>
    <t>3,6(0,56-5,4)</t>
  </si>
  <si>
    <t>3,81</t>
  </si>
  <si>
    <t>3,71</t>
  </si>
  <si>
    <t>T12H-SM/O</t>
  </si>
  <si>
    <t>Общая сумма, $</t>
  </si>
  <si>
    <r>
      <t>Общий объем, м</t>
    </r>
    <r>
      <rPr>
        <b/>
        <vertAlign val="superscript"/>
        <sz val="12"/>
        <color indexed="23"/>
        <rFont val="Calibri"/>
        <family val="2"/>
        <charset val="204"/>
      </rPr>
      <t>3</t>
    </r>
  </si>
  <si>
    <t>Общий вес брутто, кг</t>
  </si>
  <si>
    <t>КООРДИНАТЫ ТОРГОВОГО ПАРТНЕРА</t>
  </si>
  <si>
    <t>Адрес:</t>
  </si>
  <si>
    <t>E-mail:</t>
  </si>
  <si>
    <t>Компания:</t>
  </si>
  <si>
    <t>Телефон:</t>
  </si>
  <si>
    <t>Сайт:</t>
  </si>
  <si>
    <t>Настенные сплит-системы TOSOT</t>
  </si>
  <si>
    <t>Мультизональные системы TOSOT - TMV5</t>
  </si>
  <si>
    <t>3,34</t>
  </si>
  <si>
    <t>3,82</t>
  </si>
  <si>
    <t>3,38</t>
  </si>
  <si>
    <t>3,37</t>
  </si>
  <si>
    <t>4,31</t>
  </si>
  <si>
    <t>3,98</t>
  </si>
  <si>
    <t>3,76</t>
  </si>
  <si>
    <t>3,56</t>
  </si>
  <si>
    <t>4,55</t>
  </si>
  <si>
    <t>4,32</t>
  </si>
  <si>
    <t>4,17</t>
  </si>
  <si>
    <t>4,05</t>
  </si>
  <si>
    <t>3,85</t>
  </si>
  <si>
    <t>3,97</t>
  </si>
  <si>
    <t>3,52</t>
  </si>
  <si>
    <t>3,3</t>
  </si>
  <si>
    <t>4,28</t>
  </si>
  <si>
    <t>4,14</t>
  </si>
  <si>
    <t>3,96</t>
  </si>
  <si>
    <t>4,,0</t>
  </si>
  <si>
    <r>
      <t>210</t>
    </r>
    <r>
      <rPr>
        <sz val="10"/>
        <color theme="1"/>
        <rFont val="Calibri"/>
        <family val="2"/>
        <charset val="204"/>
      </rPr>
      <t>~</t>
    </r>
    <r>
      <rPr>
        <sz val="10"/>
        <color theme="1"/>
        <rFont val="Calibri"/>
        <family val="2"/>
        <charset val="204"/>
        <scheme val="minor"/>
      </rPr>
      <t>360 м</t>
    </r>
    <r>
      <rPr>
        <vertAlign val="superscript"/>
        <sz val="10"/>
        <color theme="1"/>
        <rFont val="Calibri"/>
        <family val="2"/>
        <charset val="204"/>
        <scheme val="minor"/>
      </rPr>
      <t>3</t>
    </r>
  </si>
  <si>
    <r>
      <t>300</t>
    </r>
    <r>
      <rPr>
        <sz val="10"/>
        <color theme="1"/>
        <rFont val="Calibri"/>
        <family val="2"/>
        <charset val="204"/>
      </rPr>
      <t>~500</t>
    </r>
    <r>
      <rPr>
        <sz val="10"/>
        <color theme="1"/>
        <rFont val="Calibri"/>
        <family val="2"/>
        <charset val="204"/>
        <scheme val="minor"/>
      </rPr>
      <t xml:space="preserve"> м</t>
    </r>
    <r>
      <rPr>
        <vertAlign val="superscript"/>
        <sz val="10"/>
        <color theme="1"/>
        <rFont val="Calibri"/>
        <family val="2"/>
        <charset val="204"/>
        <scheme val="minor"/>
      </rPr>
      <t>3</t>
    </r>
  </si>
  <si>
    <r>
      <t>480</t>
    </r>
    <r>
      <rPr>
        <sz val="10"/>
        <color theme="1"/>
        <rFont val="Calibri"/>
        <family val="2"/>
        <charset val="204"/>
      </rPr>
      <t>~800</t>
    </r>
    <r>
      <rPr>
        <sz val="10"/>
        <color theme="1"/>
        <rFont val="Calibri"/>
        <family val="2"/>
        <charset val="204"/>
        <scheme val="minor"/>
      </rPr>
      <t xml:space="preserve"> м</t>
    </r>
    <r>
      <rPr>
        <vertAlign val="superscript"/>
        <sz val="10"/>
        <color theme="1"/>
        <rFont val="Calibri"/>
        <family val="2"/>
        <charset val="204"/>
        <scheme val="minor"/>
      </rPr>
      <t>3</t>
    </r>
  </si>
  <si>
    <r>
      <rPr>
        <sz val="10"/>
        <color theme="1"/>
        <rFont val="Calibri"/>
        <family val="2"/>
        <charset val="204"/>
      </rPr>
      <t>600~1000</t>
    </r>
    <r>
      <rPr>
        <sz val="10"/>
        <color theme="1"/>
        <rFont val="Calibri"/>
        <family val="2"/>
        <charset val="204"/>
        <scheme val="minor"/>
      </rPr>
      <t xml:space="preserve"> м</t>
    </r>
    <r>
      <rPr>
        <vertAlign val="superscript"/>
        <sz val="10"/>
        <color theme="1"/>
        <rFont val="Calibri"/>
        <family val="2"/>
        <charset val="204"/>
        <scheme val="minor"/>
      </rPr>
      <t>3</t>
    </r>
  </si>
  <si>
    <r>
      <t>3000 м</t>
    </r>
    <r>
      <rPr>
        <vertAlign val="superscript"/>
        <sz val="10"/>
        <color theme="1"/>
        <rFont val="Calibri"/>
        <family val="2"/>
        <charset val="204"/>
        <scheme val="minor"/>
      </rPr>
      <t>3</t>
    </r>
  </si>
  <si>
    <r>
      <t>2000 м</t>
    </r>
    <r>
      <rPr>
        <vertAlign val="superscript"/>
        <sz val="10"/>
        <color theme="1"/>
        <rFont val="Calibri"/>
        <family val="2"/>
        <charset val="204"/>
        <scheme val="minor"/>
      </rPr>
      <t>3</t>
    </r>
  </si>
  <si>
    <r>
      <t>1500 м</t>
    </r>
    <r>
      <rPr>
        <vertAlign val="superscript"/>
        <sz val="10"/>
        <color theme="1"/>
        <rFont val="Calibri"/>
        <family val="2"/>
        <charset val="204"/>
        <scheme val="minor"/>
      </rPr>
      <t>3</t>
    </r>
  </si>
  <si>
    <t>РОЗНИЧНЫЙ ПРАЙС-ЛИСТ ОТ 30.03.2015</t>
  </si>
  <si>
    <t>&gt;&gt;&gt; БЫТОВЫЕ СПЛИТ-СИСТЕМЫ</t>
  </si>
  <si>
    <t>&gt;&gt;&gt; ПОЛУПРОМЫШЛЕННЫЕ СПЛИТ-СИСТЕМЫ</t>
  </si>
  <si>
    <t>&gt;&gt;&gt; МУЛЬТИСПЛИТ-СИСТЕМЫ FREE MATCH/FREE MATCH SUPER</t>
  </si>
  <si>
    <t>место для вашего логотипа</t>
  </si>
  <si>
    <t>Название компании:</t>
  </si>
  <si>
    <t>Контакты вашего менеджера:</t>
  </si>
  <si>
    <t>&gt;&gt;&gt; МУЛЬТИЗОНАЛЬНЫЕ СИСТЕМЫ TOSOT MULTI VARIABLE 5-поколения</t>
  </si>
  <si>
    <t>4,1 (2,05-4,39)</t>
  </si>
  <si>
    <t>4,4(2,49-5,42)</t>
  </si>
  <si>
    <t>3,42</t>
  </si>
  <si>
    <t>3,73</t>
  </si>
  <si>
    <t>5,2(2,14-4,83</t>
  </si>
  <si>
    <t>5,4(2,58-5,51)</t>
  </si>
  <si>
    <t>3,59</t>
  </si>
  <si>
    <t>3,48</t>
  </si>
  <si>
    <t>6,1(2,2-7,3)</t>
  </si>
  <si>
    <t>6,5(3,6-8,5)</t>
  </si>
  <si>
    <t>3,19</t>
  </si>
  <si>
    <t>7,1(2,28-8,5)</t>
  </si>
  <si>
    <t>8,5(3,6-8,7</t>
  </si>
  <si>
    <t>3,26</t>
  </si>
  <si>
    <t>8(2,28-10,25</t>
  </si>
  <si>
    <t>9,3(3,6-10,25)</t>
  </si>
  <si>
    <t>3,15</t>
  </si>
  <si>
    <t>10,5(2,1-11,0)</t>
  </si>
  <si>
    <t>11,0(2,6-13,0</t>
  </si>
  <si>
    <t>2,92</t>
  </si>
  <si>
    <t>12,1(2,1-13,6)</t>
  </si>
  <si>
    <t>13,0(2,6-14,0)</t>
  </si>
  <si>
    <t>2,93</t>
  </si>
  <si>
    <t>3,66</t>
  </si>
  <si>
    <t>12,3(1,0-14,0)</t>
  </si>
  <si>
    <t>12,5(1,2-14,0)</t>
  </si>
  <si>
    <t>14,0(1,0-16,0)</t>
  </si>
  <si>
    <t>15,5(1,2-17,0)</t>
  </si>
  <si>
    <t>16,0(1,2-17,4)</t>
  </si>
  <si>
    <t>15,5(1,0-18,0)</t>
  </si>
  <si>
    <t>17,0(1,2-18,5</t>
  </si>
  <si>
    <t>16,0(1,0-18,0)</t>
  </si>
  <si>
    <t>18,0(1,2-19,0)</t>
  </si>
  <si>
    <t>Мультисплит-системы TOSOT</t>
  </si>
  <si>
    <t>для подключения 2 внутренних блоков</t>
  </si>
  <si>
    <t>для подключения 3 внутренних блоков</t>
  </si>
  <si>
    <t>для подключения 5 внутренних блоков</t>
  </si>
  <si>
    <t>КОЛОННЫЕ ИНВЕРТОРНЫЕ</t>
  </si>
  <si>
    <t>Полупромышленные сплит-системы TOSOT</t>
  </si>
  <si>
    <t>7,25
(1,38 -8,1)</t>
  </si>
  <si>
    <t>8,85
(1,4-10)</t>
  </si>
  <si>
    <t>3,1</t>
  </si>
  <si>
    <t>3,09</t>
  </si>
  <si>
    <t>2,99</t>
  </si>
  <si>
    <t>2,5</t>
  </si>
  <si>
    <t>2,6</t>
  </si>
  <si>
    <t>2,86</t>
  </si>
  <si>
    <t>2,78</t>
  </si>
  <si>
    <t>2,75</t>
  </si>
  <si>
    <t>2,58</t>
  </si>
  <si>
    <t>3,27</t>
  </si>
  <si>
    <t>2,84</t>
  </si>
  <si>
    <t>3,0</t>
  </si>
  <si>
    <t>2,79</t>
  </si>
  <si>
    <t>3,33</t>
  </si>
  <si>
    <t>3,55</t>
  </si>
  <si>
    <t>2,8</t>
  </si>
  <si>
    <t>3,29</t>
  </si>
  <si>
    <t>2,46</t>
  </si>
  <si>
    <t>2,68</t>
  </si>
  <si>
    <t>2,77</t>
  </si>
  <si>
    <t>2,72</t>
  </si>
  <si>
    <t>2,3</t>
  </si>
  <si>
    <t>2,85</t>
  </si>
  <si>
    <t>3,44</t>
  </si>
  <si>
    <t>2,98</t>
  </si>
  <si>
    <t>2,67</t>
  </si>
  <si>
    <t>3,49</t>
  </si>
  <si>
    <t>2,38</t>
  </si>
  <si>
    <t>2,63</t>
  </si>
  <si>
    <t>3,03</t>
  </si>
  <si>
    <t>2,45</t>
  </si>
  <si>
    <t>2,26</t>
  </si>
  <si>
    <t>2,41</t>
  </si>
  <si>
    <t>2,94</t>
  </si>
  <si>
    <t>3,16</t>
  </si>
  <si>
    <t>3,14</t>
  </si>
  <si>
    <t>2,87</t>
  </si>
  <si>
    <t>2,4</t>
  </si>
  <si>
    <t>3,06</t>
  </si>
  <si>
    <t>TOSOT- это международная торговоая марка принадлежащая мировому лидеру по производству систем кондиционирования компании Gree Electric Appliances, Inc. of Zhuhai</t>
  </si>
  <si>
    <t>Сплит-система T18H-SC/I / T18H-SC/O</t>
  </si>
  <si>
    <t>Сплит-система T24H-SC/I / T24H-SC/O</t>
  </si>
  <si>
    <t xml:space="preserve">T18H-SC/I </t>
  </si>
  <si>
    <t>T18H-SC/O</t>
  </si>
  <si>
    <t xml:space="preserve">T24H-SC/I </t>
  </si>
  <si>
    <t>T24H-SC/O</t>
  </si>
  <si>
    <t xml:space="preserve">Сплит-система T09H-SC/I / T09H-SC/O  </t>
  </si>
  <si>
    <t xml:space="preserve">Сплит-система T07H-SC/I / T07H-SC/O  </t>
  </si>
  <si>
    <t>T07H-SC/I</t>
  </si>
  <si>
    <t xml:space="preserve">T07H-SC/O  </t>
  </si>
  <si>
    <t>T09H-SC/I</t>
  </si>
  <si>
    <t xml:space="preserve">T09H-SC/O  </t>
  </si>
  <si>
    <t xml:space="preserve">Сплит-система T12H-SC/I / T12H-SC/O  </t>
  </si>
  <si>
    <t>T12H-SC/I</t>
  </si>
  <si>
    <t xml:space="preserve">T12H-SC/O  </t>
  </si>
  <si>
    <t>Сплит-система T09H-SJEu/I / T09H-SJEu/O</t>
  </si>
  <si>
    <t>Сплит-система T12H-SJEu/I / T12H-SJEu/O</t>
  </si>
  <si>
    <t>Сплит-система T18H-SJEu/I / T18H-SJEu/O</t>
  </si>
  <si>
    <t>Сплит-система T24H-SJEu/I / T24H-SJEu/O</t>
  </si>
  <si>
    <t>COOBE</t>
  </si>
  <si>
    <t>T09H-SJEu/I</t>
  </si>
  <si>
    <t>T09H-SJEu/O</t>
  </si>
  <si>
    <t>T12H-SJEu/I</t>
  </si>
  <si>
    <t>T12H-SJEu/O</t>
  </si>
  <si>
    <t>T18H-SJEu/I</t>
  </si>
  <si>
    <t>T18H-SJEu/O</t>
  </si>
  <si>
    <t>T24H-SJEu/I</t>
  </si>
  <si>
    <t>T24H-SJEu/O</t>
  </si>
  <si>
    <t>JOICE  EURO</t>
  </si>
  <si>
    <t>4,0(0,88-4,4)</t>
  </si>
  <si>
    <t>5,8(1,12-6,8)</t>
  </si>
  <si>
    <t>JOICE</t>
  </si>
  <si>
    <t>Сплит-система T09H-SJ/I / T09H-SJ/O</t>
  </si>
  <si>
    <t>T09H-SJ/I</t>
  </si>
  <si>
    <t>T09H-SJ/O</t>
  </si>
  <si>
    <t>Сплит-система T12H-SJ/I / T12H-SJ/O</t>
  </si>
  <si>
    <t>T12H-SJ/I</t>
  </si>
  <si>
    <t>T12H-SJ/O</t>
  </si>
  <si>
    <t>Сплит-система T18H-SJ/I / T18H-SJ/O</t>
  </si>
  <si>
    <t>T18H-SJ/I</t>
  </si>
  <si>
    <t>T18H-SJ/O</t>
  </si>
  <si>
    <t>Сплит-система T24H-SJ/I / T24H-SJ/O</t>
  </si>
  <si>
    <t>T24H-SJ/I</t>
  </si>
  <si>
    <t>T24H-SJ/O</t>
  </si>
  <si>
    <t>&gt;&gt;&gt; SALES БЫТОВЫЕ СПЛИТ-СИСТЕМЫ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</si>
</sst>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2" formatCode="_-* #,##0&quot;р.&quot;_-;\-* #,##0&quot;р.&quot;_-;_-* &quot;-&quot;&quot;р.&quot;_-;_-@_-"/>
    <numFmt numFmtId="41" formatCode="_-* #,##0_р_._-;\-* #,##0_р_._-;_-* &quot;-&quot;_р_._-;_-@_-"/>
    <numFmt numFmtId="164" formatCode="[$$-409]#,##0"/>
    <numFmt numFmtId="165" formatCode="_-* #,##0_-;\-* #,##0_-;_-* &quot;-&quot;_-;_-@_-"/>
    <numFmt numFmtId="166" formatCode="0.0"/>
    <numFmt numFmtId="167" formatCode="#,##0.0"/>
    <numFmt numFmtId="168" formatCode="_-[$$-409]* #,##0_ ;_-[$$-409]* \-#,##0\ ;_-[$$-409]* &quot;-&quot;_ ;_-@_ "/>
    <numFmt numFmtId="169" formatCode="_-[$$-409]* #,##0.0_ ;_-[$$-409]* \-#,##0.0\ ;_-[$$-409]* &quot;-&quot;?_ ;_-@_ "/>
    <numFmt numFmtId="170" formatCode="0.000"/>
    <numFmt numFmtId="171" formatCode="#,##0&quot;р.&quot;"/>
  </numFmts>
  <fonts count="6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2"/>
      <name val="Times New Roman"/>
      <family val="1"/>
    </font>
    <font>
      <sz val="12"/>
      <name val="宋体"/>
      <charset val="134"/>
    </font>
    <font>
      <sz val="10"/>
      <name val="Arial"/>
      <family val="2"/>
    </font>
    <font>
      <b/>
      <sz val="11"/>
      <name val="Calibri"/>
      <family val="2"/>
      <charset val="204"/>
      <scheme val="minor"/>
    </font>
    <font>
      <sz val="10"/>
      <name val="Helv"/>
      <family val="2"/>
    </font>
    <font>
      <sz val="11"/>
      <color theme="1"/>
      <name val="Calibri"/>
      <family val="2"/>
      <charset val="204"/>
      <scheme val="minor"/>
    </font>
    <font>
      <sz val="10"/>
      <name val="VNI-Times"/>
      <family val="2"/>
    </font>
    <font>
      <sz val="8"/>
      <name val="Arial"/>
      <family val="2"/>
    </font>
    <font>
      <sz val="10"/>
      <color theme="1"/>
      <name val="Arial"/>
      <family val="2"/>
      <charset val="204"/>
    </font>
    <font>
      <u/>
      <sz val="10"/>
      <color indexed="12"/>
      <name val="Arial Cyr"/>
      <charset val="204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11"/>
      <color indexed="8"/>
      <name val="宋体"/>
      <charset val="134"/>
    </font>
    <font>
      <sz val="11"/>
      <color indexed="8"/>
      <name val="Calibri"/>
      <family val="2"/>
      <charset val="204"/>
    </font>
    <font>
      <sz val="10"/>
      <name val="Arial Cyr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17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i/>
      <sz val="11"/>
      <color indexed="23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name val="돋움"/>
      <family val="3"/>
      <charset val="129"/>
    </font>
    <font>
      <b/>
      <sz val="10"/>
      <color theme="0"/>
      <name val="Arial"/>
      <family val="2"/>
      <charset val="204"/>
    </font>
    <font>
      <b/>
      <sz val="16"/>
      <color rgb="FFC00000"/>
      <name val="Calibri"/>
      <family val="2"/>
      <charset val="204"/>
      <scheme val="minor"/>
    </font>
    <font>
      <b/>
      <sz val="12"/>
      <color rgb="FFC00000"/>
      <name val="Calibri"/>
      <family val="2"/>
      <charset val="204"/>
      <scheme val="minor"/>
    </font>
    <font>
      <b/>
      <sz val="10"/>
      <color rgb="FFC00000"/>
      <name val="Arial"/>
      <family val="2"/>
      <charset val="204"/>
    </font>
    <font>
      <b/>
      <sz val="16"/>
      <color rgb="FF636466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b/>
      <sz val="12"/>
      <color rgb="FF636466"/>
      <name val="Calibri"/>
      <family val="2"/>
      <charset val="204"/>
      <scheme val="minor"/>
    </font>
    <font>
      <b/>
      <vertAlign val="superscript"/>
      <sz val="12"/>
      <color indexed="23"/>
      <name val="Calibri"/>
      <family val="2"/>
      <charset val="204"/>
    </font>
    <font>
      <b/>
      <sz val="12"/>
      <color theme="0"/>
      <name val="Calibri"/>
      <family val="2"/>
      <charset val="204"/>
      <scheme val="minor"/>
    </font>
    <font>
      <b/>
      <sz val="10"/>
      <color theme="1" tint="0.249977111117893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6"/>
      <color rgb="FFD71635"/>
      <name val="Calibri"/>
      <family val="2"/>
      <charset val="204"/>
      <scheme val="minor"/>
    </font>
    <font>
      <b/>
      <sz val="10"/>
      <color rgb="FFD71635"/>
      <name val="Arial"/>
      <family val="2"/>
      <charset val="204"/>
    </font>
    <font>
      <b/>
      <sz val="12"/>
      <color rgb="FFD71635"/>
      <name val="Calibri"/>
      <family val="2"/>
      <charset val="204"/>
      <scheme val="minor"/>
    </font>
    <font>
      <vertAlign val="superscript"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16"/>
      <color theme="0"/>
      <name val="Calibri"/>
      <family val="2"/>
      <charset val="204"/>
    </font>
    <font>
      <i/>
      <sz val="11"/>
      <color theme="1" tint="0.249977111117893"/>
      <name val="Calibri"/>
      <family val="2"/>
      <charset val="204"/>
      <scheme val="minor"/>
    </font>
    <font>
      <i/>
      <u/>
      <sz val="11"/>
      <color theme="0" tint="-0.249977111117893"/>
      <name val="Calibri"/>
      <family val="2"/>
      <charset val="204"/>
      <scheme val="minor"/>
    </font>
    <font>
      <b/>
      <sz val="14"/>
      <color rgb="FFC0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i/>
      <sz val="18"/>
      <color theme="1"/>
      <name val="Calibri"/>
      <family val="2"/>
      <charset val="204"/>
      <scheme val="minor"/>
    </font>
    <font>
      <b/>
      <i/>
      <sz val="15"/>
      <color theme="1" tint="0.34998626667073579"/>
      <name val="Calibri"/>
      <family val="2"/>
      <charset val="204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636466"/>
        <bgColor indexed="64"/>
      </patternFill>
    </fill>
    <fill>
      <patternFill patternType="solid">
        <fgColor rgb="FFD7163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medium">
        <color rgb="FF636466"/>
      </left>
      <right/>
      <top/>
      <bottom/>
      <diagonal/>
    </border>
    <border>
      <left style="hair">
        <color theme="0" tint="-0.14996795556505021"/>
      </left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 style="hair">
        <color theme="0" tint="-0.14996795556505021"/>
      </left>
      <right/>
      <top/>
      <bottom/>
      <diagonal/>
    </border>
    <border>
      <left/>
      <right style="hair">
        <color theme="0" tint="-0.14996795556505021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 tint="-0.34998626667073579"/>
      </left>
      <right style="thin">
        <color theme="1" tint="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1" tint="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</borders>
  <cellStyleXfs count="50">
    <xf numFmtId="0" fontId="0" fillId="0" borderId="0"/>
    <xf numFmtId="0" fontId="3" fillId="0" borderId="0"/>
    <xf numFmtId="0" fontId="4" fillId="0" borderId="0"/>
    <xf numFmtId="0" fontId="5" fillId="0" borderId="0"/>
    <xf numFmtId="0" fontId="6" fillId="0" borderId="0"/>
    <xf numFmtId="0" fontId="7" fillId="0" borderId="0"/>
    <xf numFmtId="0" fontId="9" fillId="0" borderId="0"/>
    <xf numFmtId="0" fontId="9" fillId="0" borderId="0" applyNumberFormat="0" applyBorder="0" applyAlignment="0" applyProtection="0">
      <alignment vertical="center"/>
    </xf>
    <xf numFmtId="0" fontId="9" fillId="0" borderId="0" applyNumberFormat="0" applyBorder="0" applyAlignment="0" applyProtection="0">
      <alignment vertical="center"/>
    </xf>
    <xf numFmtId="0" fontId="9" fillId="0" borderId="0"/>
    <xf numFmtId="0" fontId="6" fillId="0" borderId="0"/>
    <xf numFmtId="0" fontId="9" fillId="0" borderId="0" applyNumberFormat="0" applyBorder="0" applyAlignment="0" applyProtection="0">
      <alignment vertical="center"/>
    </xf>
    <xf numFmtId="0" fontId="6" fillId="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0" fillId="0" borderId="0"/>
    <xf numFmtId="0" fontId="6" fillId="0" borderId="0"/>
    <xf numFmtId="165" fontId="11" fillId="0" borderId="0" applyFont="0" applyFill="0" applyBorder="0" applyAlignment="0" applyProtection="0"/>
    <xf numFmtId="0" fontId="12" fillId="0" borderId="0"/>
    <xf numFmtId="0" fontId="13" fillId="0" borderId="0"/>
    <xf numFmtId="0" fontId="13" fillId="0" borderId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6" fillId="0" borderId="0"/>
    <xf numFmtId="0" fontId="19" fillId="0" borderId="0"/>
    <xf numFmtId="0" fontId="20" fillId="0" borderId="0">
      <alignment vertical="center"/>
    </xf>
    <xf numFmtId="0" fontId="6" fillId="0" borderId="0"/>
    <xf numFmtId="0" fontId="21" fillId="0" borderId="0"/>
    <xf numFmtId="0" fontId="19" fillId="0" borderId="0"/>
    <xf numFmtId="0" fontId="19" fillId="0" borderId="0"/>
    <xf numFmtId="0" fontId="22" fillId="0" borderId="0"/>
    <xf numFmtId="0" fontId="33" fillId="5" borderId="0" applyNumberFormat="0" applyBorder="0" applyAlignment="0" applyProtection="0"/>
    <xf numFmtId="0" fontId="27" fillId="6" borderId="7" applyNumberFormat="0" applyAlignment="0" applyProtection="0"/>
    <xf numFmtId="0" fontId="32" fillId="0" borderId="8" applyNumberFormat="0" applyFill="0" applyAlignment="0" applyProtection="0"/>
    <xf numFmtId="0" fontId="29" fillId="7" borderId="9" applyNumberFormat="0" applyAlignment="0" applyProtection="0"/>
    <xf numFmtId="0" fontId="23" fillId="0" borderId="0" applyNumberFormat="0" applyFill="0" applyBorder="0" applyAlignment="0" applyProtection="0"/>
    <xf numFmtId="0" fontId="26" fillId="8" borderId="0" applyNumberFormat="0" applyBorder="0" applyAlignment="0" applyProtection="0"/>
    <xf numFmtId="0" fontId="25" fillId="3" borderId="0" applyNumberFormat="0" applyBorder="0" applyAlignment="0" applyProtection="0"/>
    <xf numFmtId="0" fontId="31" fillId="0" borderId="0" applyNumberFormat="0" applyFill="0" applyBorder="0" applyAlignment="0" applyProtection="0"/>
    <xf numFmtId="0" fontId="22" fillId="9" borderId="10" applyNumberFormat="0" applyFont="0" applyAlignment="0" applyProtection="0"/>
    <xf numFmtId="0" fontId="28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34" fillId="0" borderId="0"/>
    <xf numFmtId="41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</cellStyleXfs>
  <cellXfs count="238">
    <xf numFmtId="0" fontId="0" fillId="0" borderId="0" xfId="0"/>
    <xf numFmtId="0" fontId="0" fillId="0" borderId="0" xfId="0" applyFont="1"/>
    <xf numFmtId="0" fontId="1" fillId="0" borderId="0" xfId="0" applyFont="1"/>
    <xf numFmtId="0" fontId="0" fillId="0" borderId="0" xfId="0" applyFont="1" applyFill="1"/>
    <xf numFmtId="0" fontId="0" fillId="0" borderId="0" xfId="0" applyFont="1" applyBorder="1"/>
    <xf numFmtId="0" fontId="0" fillId="0" borderId="0" xfId="0" applyFont="1" applyAlignment="1">
      <alignment horizontal="center"/>
    </xf>
    <xf numFmtId="3" fontId="0" fillId="0" borderId="0" xfId="0" applyNumberFormat="1" applyFont="1"/>
    <xf numFmtId="0" fontId="16" fillId="0" borderId="1" xfId="0" applyFont="1" applyBorder="1" applyAlignment="1">
      <alignment horizontal="left" vertical="center"/>
    </xf>
    <xf numFmtId="0" fontId="16" fillId="0" borderId="1" xfId="0" applyFont="1" applyBorder="1" applyAlignment="1">
      <alignment horizontal="center" vertical="center"/>
    </xf>
    <xf numFmtId="0" fontId="2" fillId="0" borderId="0" xfId="6" applyFont="1" applyFill="1" applyBorder="1"/>
    <xf numFmtId="0" fontId="2" fillId="0" borderId="0" xfId="6" applyFont="1" applyFill="1"/>
    <xf numFmtId="9" fontId="2" fillId="0" borderId="0" xfId="0" applyNumberFormat="1" applyFont="1" applyFill="1"/>
    <xf numFmtId="0" fontId="2" fillId="0" borderId="0" xfId="0" applyFont="1" applyFill="1"/>
    <xf numFmtId="0" fontId="2" fillId="0" borderId="0" xfId="0" applyFont="1" applyFill="1" applyBorder="1"/>
    <xf numFmtId="0" fontId="2" fillId="0" borderId="0" xfId="0" applyFont="1" applyFill="1" applyAlignment="1">
      <alignment vertical="center" wrapText="1"/>
    </xf>
    <xf numFmtId="164" fontId="2" fillId="0" borderId="0" xfId="0" applyNumberFormat="1" applyFont="1" applyFill="1" applyBorder="1" applyAlignment="1">
      <alignment horizontal="center" vertical="center"/>
    </xf>
    <xf numFmtId="9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/>
    <xf numFmtId="0" fontId="8" fillId="0" borderId="0" xfId="6" applyFont="1" applyFill="1" applyAlignment="1">
      <alignment horizontal="center"/>
    </xf>
    <xf numFmtId="49" fontId="2" fillId="0" borderId="0" xfId="6" applyNumberFormat="1" applyFont="1" applyFill="1"/>
    <xf numFmtId="0" fontId="2" fillId="0" borderId="0" xfId="6" applyFont="1" applyFill="1" applyAlignment="1">
      <alignment horizontal="center" vertical="center"/>
    </xf>
    <xf numFmtId="9" fontId="2" fillId="0" borderId="0" xfId="6" applyNumberFormat="1" applyFont="1" applyFill="1"/>
    <xf numFmtId="0" fontId="8" fillId="0" borderId="0" xfId="6" applyFont="1" applyFill="1" applyBorder="1" applyAlignment="1">
      <alignment horizontal="center"/>
    </xf>
    <xf numFmtId="49" fontId="0" fillId="0" borderId="0" xfId="0" applyNumberFormat="1" applyFont="1"/>
    <xf numFmtId="49" fontId="16" fillId="0" borderId="1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vertical="center"/>
    </xf>
    <xf numFmtId="164" fontId="0" fillId="0" borderId="0" xfId="0" applyNumberFormat="1" applyFont="1" applyFill="1" applyBorder="1" applyAlignment="1">
      <alignment horizontal="right"/>
    </xf>
    <xf numFmtId="164" fontId="0" fillId="0" borderId="0" xfId="0" applyNumberFormat="1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center" vertical="center" wrapText="1"/>
    </xf>
    <xf numFmtId="0" fontId="8" fillId="0" borderId="0" xfId="6" applyFont="1" applyFill="1" applyBorder="1" applyAlignment="1">
      <alignment horizontal="center"/>
    </xf>
    <xf numFmtId="0" fontId="35" fillId="10" borderId="18" xfId="21" applyFont="1" applyFill="1" applyBorder="1" applyAlignment="1">
      <alignment horizontal="center" vertical="center"/>
    </xf>
    <xf numFmtId="0" fontId="35" fillId="10" borderId="19" xfId="21" applyFont="1" applyFill="1" applyBorder="1" applyAlignment="1">
      <alignment horizontal="center" vertical="center"/>
    </xf>
    <xf numFmtId="0" fontId="35" fillId="10" borderId="19" xfId="21" applyFont="1" applyFill="1" applyBorder="1" applyAlignment="1">
      <alignment horizontal="center" vertical="center" wrapText="1"/>
    </xf>
    <xf numFmtId="49" fontId="16" fillId="0" borderId="5" xfId="0" applyNumberFormat="1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49" fontId="2" fillId="0" borderId="0" xfId="0" applyNumberFormat="1" applyFont="1" applyFill="1" applyBorder="1" applyAlignment="1">
      <alignment horizontal="center"/>
    </xf>
    <xf numFmtId="168" fontId="17" fillId="0" borderId="1" xfId="0" applyNumberFormat="1" applyFont="1" applyBorder="1" applyAlignment="1">
      <alignment vertical="center"/>
    </xf>
    <xf numFmtId="0" fontId="35" fillId="10" borderId="21" xfId="21" applyFont="1" applyFill="1" applyBorder="1" applyAlignment="1">
      <alignment horizontal="center" vertical="center"/>
    </xf>
    <xf numFmtId="0" fontId="35" fillId="10" borderId="21" xfId="21" applyFont="1" applyFill="1" applyBorder="1" applyAlignment="1">
      <alignment horizontal="center" vertical="center" wrapText="1"/>
    </xf>
    <xf numFmtId="168" fontId="2" fillId="0" borderId="1" xfId="0" applyNumberFormat="1" applyFont="1" applyFill="1" applyBorder="1" applyAlignment="1">
      <alignment horizontal="center" vertical="center"/>
    </xf>
    <xf numFmtId="49" fontId="16" fillId="0" borderId="1" xfId="0" applyNumberFormat="1" applyFont="1" applyBorder="1" applyAlignment="1">
      <alignment horizontal="center" vertical="center"/>
    </xf>
    <xf numFmtId="0" fontId="2" fillId="0" borderId="0" xfId="6" applyFont="1" applyFill="1" applyAlignment="1">
      <alignment horizontal="center"/>
    </xf>
    <xf numFmtId="3" fontId="2" fillId="0" borderId="1" xfId="6" applyNumberFormat="1" applyFont="1" applyFill="1" applyBorder="1" applyAlignment="1">
      <alignment horizontal="center"/>
    </xf>
    <xf numFmtId="9" fontId="2" fillId="0" borderId="1" xfId="6" applyNumberFormat="1" applyFont="1" applyFill="1" applyBorder="1" applyAlignment="1">
      <alignment horizontal="center"/>
    </xf>
    <xf numFmtId="9" fontId="2" fillId="0" borderId="1" xfId="6" applyNumberFormat="1" applyFont="1" applyFill="1" applyBorder="1" applyAlignment="1">
      <alignment horizontal="center"/>
    </xf>
    <xf numFmtId="3" fontId="2" fillId="0" borderId="1" xfId="6" applyNumberFormat="1" applyFont="1" applyFill="1" applyBorder="1" applyAlignment="1">
      <alignment horizontal="center" vertical="center"/>
    </xf>
    <xf numFmtId="3" fontId="17" fillId="0" borderId="4" xfId="0" applyNumberFormat="1" applyFont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0" fontId="35" fillId="10" borderId="21" xfId="21" applyFont="1" applyFill="1" applyBorder="1" applyAlignment="1">
      <alignment horizontal="center" vertical="center"/>
    </xf>
    <xf numFmtId="3" fontId="17" fillId="0" borderId="1" xfId="0" applyNumberFormat="1" applyFont="1" applyBorder="1" applyAlignment="1">
      <alignment horizontal="center" vertical="center"/>
    </xf>
    <xf numFmtId="9" fontId="17" fillId="0" borderId="1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167" fontId="16" fillId="0" borderId="1" xfId="0" applyNumberFormat="1" applyFont="1" applyBorder="1" applyAlignment="1">
      <alignment horizontal="center" vertical="center"/>
    </xf>
    <xf numFmtId="49" fontId="16" fillId="0" borderId="1" xfId="0" applyNumberFormat="1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39" fillId="11" borderId="23" xfId="0" applyFont="1" applyFill="1" applyBorder="1" applyAlignment="1">
      <alignment horizontal="right" vertical="center" indent="1"/>
    </xf>
    <xf numFmtId="0" fontId="39" fillId="12" borderId="0" xfId="0" applyFont="1" applyFill="1" applyBorder="1" applyAlignment="1">
      <alignment horizontal="right" vertical="center" indent="1"/>
    </xf>
    <xf numFmtId="9" fontId="40" fillId="12" borderId="0" xfId="0" applyNumberFormat="1" applyFont="1" applyFill="1" applyBorder="1" applyAlignment="1">
      <alignment horizontal="center" vertical="center"/>
    </xf>
    <xf numFmtId="166" fontId="40" fillId="12" borderId="0" xfId="0" applyNumberFormat="1" applyFont="1" applyFill="1" applyBorder="1" applyAlignment="1">
      <alignment horizontal="center" vertical="center"/>
    </xf>
    <xf numFmtId="0" fontId="41" fillId="12" borderId="0" xfId="0" applyFont="1" applyFill="1" applyBorder="1" applyAlignment="1">
      <alignment horizontal="right" vertical="center"/>
    </xf>
    <xf numFmtId="166" fontId="43" fillId="12" borderId="0" xfId="0" applyNumberFormat="1" applyFont="1" applyFill="1" applyBorder="1" applyAlignment="1">
      <alignment horizontal="center" vertical="center"/>
    </xf>
    <xf numFmtId="0" fontId="44" fillId="2" borderId="27" xfId="21" applyFont="1" applyFill="1" applyBorder="1" applyAlignment="1">
      <alignment vertical="center"/>
    </xf>
    <xf numFmtId="0" fontId="44" fillId="2" borderId="24" xfId="21" applyFont="1" applyFill="1" applyBorder="1" applyAlignment="1">
      <alignment vertical="center"/>
    </xf>
    <xf numFmtId="0" fontId="3" fillId="0" borderId="0" xfId="21" applyFill="1"/>
    <xf numFmtId="166" fontId="43" fillId="0" borderId="0" xfId="0" applyNumberFormat="1" applyFont="1" applyFill="1" applyBorder="1" applyAlignment="1">
      <alignment horizontal="center" vertical="center"/>
    </xf>
    <xf numFmtId="0" fontId="44" fillId="0" borderId="0" xfId="21" applyFont="1" applyFill="1" applyBorder="1" applyAlignment="1">
      <alignment vertical="center"/>
    </xf>
    <xf numFmtId="0" fontId="0" fillId="0" borderId="0" xfId="0" applyFont="1" applyFill="1" applyAlignment="1">
      <alignment vertical="center" wrapText="1"/>
    </xf>
    <xf numFmtId="166" fontId="43" fillId="0" borderId="0" xfId="0" applyNumberFormat="1" applyFont="1" applyFill="1" applyBorder="1" applyAlignment="1">
      <alignment vertical="center"/>
    </xf>
    <xf numFmtId="9" fontId="40" fillId="13" borderId="0" xfId="0" applyNumberFormat="1" applyFont="1" applyFill="1" applyBorder="1" applyAlignment="1">
      <alignment horizontal="center" vertical="center"/>
    </xf>
    <xf numFmtId="3" fontId="40" fillId="13" borderId="0" xfId="0" applyNumberFormat="1" applyFont="1" applyFill="1" applyBorder="1" applyAlignment="1">
      <alignment horizontal="center" vertical="center"/>
    </xf>
    <xf numFmtId="166" fontId="43" fillId="13" borderId="0" xfId="0" applyNumberFormat="1" applyFont="1" applyFill="1" applyBorder="1" applyAlignment="1">
      <alignment horizontal="center" vertical="center"/>
    </xf>
    <xf numFmtId="170" fontId="0" fillId="0" borderId="1" xfId="0" applyNumberFormat="1" applyFont="1" applyBorder="1" applyAlignment="1">
      <alignment horizontal="center" vertical="center"/>
    </xf>
    <xf numFmtId="3" fontId="0" fillId="0" borderId="1" xfId="0" applyNumberFormat="1" applyFont="1" applyBorder="1" applyAlignment="1">
      <alignment horizontal="center" vertical="center"/>
    </xf>
    <xf numFmtId="0" fontId="35" fillId="10" borderId="30" xfId="21" applyFont="1" applyFill="1" applyBorder="1" applyAlignment="1">
      <alignment horizontal="center" vertical="center" wrapText="1"/>
    </xf>
    <xf numFmtId="0" fontId="35" fillId="10" borderId="30" xfId="21" applyFont="1" applyFill="1" applyBorder="1" applyAlignment="1">
      <alignment horizontal="center" vertical="center" wrapText="1"/>
    </xf>
    <xf numFmtId="3" fontId="2" fillId="0" borderId="4" xfId="6" applyNumberFormat="1" applyFont="1" applyFill="1" applyBorder="1" applyAlignment="1">
      <alignment horizontal="center" vertical="center"/>
    </xf>
    <xf numFmtId="170" fontId="2" fillId="0" borderId="1" xfId="0" applyNumberFormat="1" applyFont="1" applyFill="1" applyBorder="1" applyAlignment="1">
      <alignment horizontal="center"/>
    </xf>
    <xf numFmtId="1" fontId="2" fillId="0" borderId="1" xfId="0" applyNumberFormat="1" applyFont="1" applyFill="1" applyBorder="1" applyAlignment="1">
      <alignment horizontal="center"/>
    </xf>
    <xf numFmtId="49" fontId="2" fillId="0" borderId="1" xfId="6" applyNumberFormat="1" applyFont="1" applyFill="1" applyBorder="1" applyAlignment="1">
      <alignment horizontal="center"/>
    </xf>
    <xf numFmtId="166" fontId="16" fillId="0" borderId="1" xfId="0" applyNumberFormat="1" applyFont="1" applyBorder="1" applyAlignment="1">
      <alignment horizontal="center" vertical="center"/>
    </xf>
    <xf numFmtId="0" fontId="0" fillId="14" borderId="0" xfId="0" applyFill="1"/>
    <xf numFmtId="0" fontId="55" fillId="14" borderId="0" xfId="0" applyFont="1" applyFill="1"/>
    <xf numFmtId="2" fontId="16" fillId="0" borderId="1" xfId="0" applyNumberFormat="1" applyFont="1" applyBorder="1" applyAlignment="1">
      <alignment horizontal="center" vertical="center"/>
    </xf>
    <xf numFmtId="0" fontId="35" fillId="10" borderId="30" xfId="21" applyFont="1" applyFill="1" applyBorder="1" applyAlignment="1">
      <alignment horizontal="center" vertical="center"/>
    </xf>
    <xf numFmtId="1" fontId="0" fillId="0" borderId="1" xfId="0" applyNumberFormat="1" applyFont="1" applyBorder="1" applyAlignment="1">
      <alignment horizontal="center" vertical="center"/>
    </xf>
    <xf numFmtId="167" fontId="58" fillId="0" borderId="1" xfId="0" applyNumberFormat="1" applyFont="1" applyBorder="1" applyAlignment="1">
      <alignment horizontal="center" vertical="center"/>
    </xf>
    <xf numFmtId="49" fontId="58" fillId="0" borderId="1" xfId="0" applyNumberFormat="1" applyFont="1" applyBorder="1" applyAlignment="1">
      <alignment horizontal="center" vertical="center"/>
    </xf>
    <xf numFmtId="3" fontId="57" fillId="0" borderId="1" xfId="0" applyNumberFormat="1" applyFont="1" applyBorder="1" applyAlignment="1">
      <alignment horizontal="center" vertical="center"/>
    </xf>
    <xf numFmtId="9" fontId="57" fillId="0" borderId="1" xfId="0" applyNumberFormat="1" applyFont="1" applyBorder="1" applyAlignment="1">
      <alignment horizontal="center" vertical="center"/>
    </xf>
    <xf numFmtId="168" fontId="57" fillId="0" borderId="1" xfId="0" applyNumberFormat="1" applyFont="1" applyBorder="1" applyAlignment="1">
      <alignment vertical="center"/>
    </xf>
    <xf numFmtId="170" fontId="58" fillId="0" borderId="1" xfId="0" applyNumberFormat="1" applyFont="1" applyBorder="1" applyAlignment="1">
      <alignment horizontal="center" vertical="center"/>
    </xf>
    <xf numFmtId="1" fontId="58" fillId="0" borderId="1" xfId="0" applyNumberFormat="1" applyFont="1" applyBorder="1" applyAlignment="1">
      <alignment horizontal="center" vertical="center"/>
    </xf>
    <xf numFmtId="164" fontId="45" fillId="0" borderId="1" xfId="0" applyNumberFormat="1" applyFont="1" applyBorder="1" applyAlignment="1">
      <alignment horizontal="center" vertical="center"/>
    </xf>
    <xf numFmtId="164" fontId="48" fillId="14" borderId="1" xfId="0" applyNumberFormat="1" applyFont="1" applyFill="1" applyBorder="1" applyAlignment="1">
      <alignment horizontal="center" vertical="center"/>
    </xf>
    <xf numFmtId="0" fontId="59" fillId="15" borderId="0" xfId="0" applyFont="1" applyFill="1" applyAlignment="1">
      <alignment vertical="top" wrapText="1"/>
    </xf>
    <xf numFmtId="0" fontId="0" fillId="15" borderId="0" xfId="0" applyFill="1"/>
    <xf numFmtId="0" fontId="35" fillId="10" borderId="18" xfId="21" applyFont="1" applyFill="1" applyBorder="1" applyAlignment="1">
      <alignment horizontal="center" vertical="center"/>
    </xf>
    <xf numFmtId="0" fontId="35" fillId="10" borderId="19" xfId="21" applyFont="1" applyFill="1" applyBorder="1" applyAlignment="1">
      <alignment horizontal="center" vertical="center"/>
    </xf>
    <xf numFmtId="0" fontId="35" fillId="10" borderId="19" xfId="21" applyFont="1" applyFill="1" applyBorder="1" applyAlignment="1">
      <alignment horizontal="center" vertical="center" wrapText="1"/>
    </xf>
    <xf numFmtId="49" fontId="16" fillId="0" borderId="5" xfId="0" applyNumberFormat="1" applyFont="1" applyBorder="1" applyAlignment="1">
      <alignment horizontal="center" vertical="center"/>
    </xf>
    <xf numFmtId="9" fontId="17" fillId="0" borderId="1" xfId="0" applyNumberFormat="1" applyFont="1" applyBorder="1" applyAlignment="1">
      <alignment horizontal="center" vertical="center"/>
    </xf>
    <xf numFmtId="49" fontId="16" fillId="0" borderId="1" xfId="0" applyNumberFormat="1" applyFont="1" applyBorder="1" applyAlignment="1">
      <alignment horizontal="center" vertical="center"/>
    </xf>
    <xf numFmtId="171" fontId="45" fillId="0" borderId="1" xfId="0" applyNumberFormat="1" applyFont="1" applyBorder="1" applyAlignment="1">
      <alignment horizontal="center" vertical="center"/>
    </xf>
    <xf numFmtId="171" fontId="48" fillId="14" borderId="1" xfId="0" applyNumberFormat="1" applyFont="1" applyFill="1" applyBorder="1" applyAlignment="1">
      <alignment horizontal="center" vertical="center"/>
    </xf>
    <xf numFmtId="42" fontId="17" fillId="0" borderId="1" xfId="0" applyNumberFormat="1" applyFont="1" applyBorder="1" applyAlignment="1">
      <alignment horizontal="center" vertical="center"/>
    </xf>
    <xf numFmtId="0" fontId="0" fillId="14" borderId="36" xfId="0" applyFill="1" applyBorder="1" applyAlignment="1">
      <alignment horizontal="center"/>
    </xf>
    <xf numFmtId="0" fontId="0" fillId="14" borderId="37" xfId="0" applyFill="1" applyBorder="1" applyAlignment="1">
      <alignment horizontal="center"/>
    </xf>
    <xf numFmtId="0" fontId="0" fillId="14" borderId="38" xfId="0" applyFill="1" applyBorder="1" applyAlignment="1">
      <alignment horizontal="center"/>
    </xf>
    <xf numFmtId="0" fontId="54" fillId="14" borderId="0" xfId="0" applyFont="1" applyFill="1" applyBorder="1" applyAlignment="1">
      <alignment horizontal="right" vertical="center"/>
    </xf>
    <xf numFmtId="0" fontId="53" fillId="10" borderId="32" xfId="49" applyFont="1" applyFill="1" applyBorder="1" applyAlignment="1" applyProtection="1">
      <alignment horizontal="left" vertical="center"/>
    </xf>
    <xf numFmtId="0" fontId="53" fillId="10" borderId="33" xfId="49" applyFont="1" applyFill="1" applyBorder="1" applyAlignment="1" applyProtection="1">
      <alignment horizontal="left" vertical="center"/>
    </xf>
    <xf numFmtId="0" fontId="53" fillId="10" borderId="34" xfId="49" applyFont="1" applyFill="1" applyBorder="1" applyAlignment="1" applyProtection="1">
      <alignment horizontal="left" vertical="center"/>
    </xf>
    <xf numFmtId="0" fontId="51" fillId="0" borderId="0" xfId="0" applyFont="1" applyAlignment="1">
      <alignment horizontal="center"/>
    </xf>
    <xf numFmtId="0" fontId="60" fillId="15" borderId="0" xfId="0" applyFont="1" applyFill="1" applyAlignment="1">
      <alignment horizontal="center" vertical="top" wrapText="1"/>
    </xf>
    <xf numFmtId="0" fontId="60" fillId="15" borderId="35" xfId="0" applyFont="1" applyFill="1" applyBorder="1" applyAlignment="1">
      <alignment horizontal="center" vertical="top" wrapText="1"/>
    </xf>
    <xf numFmtId="0" fontId="46" fillId="0" borderId="0" xfId="0" applyFont="1" applyBorder="1" applyAlignment="1">
      <alignment horizontal="center"/>
    </xf>
    <xf numFmtId="0" fontId="35" fillId="10" borderId="18" xfId="21" applyFont="1" applyFill="1" applyBorder="1" applyAlignment="1">
      <alignment horizontal="center" vertical="center"/>
    </xf>
    <xf numFmtId="0" fontId="35" fillId="10" borderId="19" xfId="21" applyFont="1" applyFill="1" applyBorder="1" applyAlignment="1">
      <alignment horizontal="center" vertical="center"/>
    </xf>
    <xf numFmtId="0" fontId="35" fillId="10" borderId="18" xfId="21" applyFont="1" applyFill="1" applyBorder="1" applyAlignment="1">
      <alignment horizontal="center" vertical="center" wrapText="1"/>
    </xf>
    <xf numFmtId="0" fontId="35" fillId="10" borderId="19" xfId="21" applyFont="1" applyFill="1" applyBorder="1" applyAlignment="1">
      <alignment horizontal="center" vertical="center" wrapText="1"/>
    </xf>
    <xf numFmtId="0" fontId="47" fillId="2" borderId="18" xfId="21" applyFont="1" applyFill="1" applyBorder="1" applyAlignment="1">
      <alignment horizontal="center" vertical="center" wrapText="1"/>
    </xf>
    <xf numFmtId="0" fontId="47" fillId="2" borderId="19" xfId="21" applyFont="1" applyFill="1" applyBorder="1" applyAlignment="1">
      <alignment horizontal="center" vertical="center" wrapText="1"/>
    </xf>
    <xf numFmtId="168" fontId="17" fillId="0" borderId="20" xfId="0" applyNumberFormat="1" applyFont="1" applyBorder="1" applyAlignment="1">
      <alignment horizontal="center" vertical="center"/>
    </xf>
    <xf numFmtId="168" fontId="17" fillId="0" borderId="5" xfId="0" applyNumberFormat="1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2" fontId="16" fillId="0" borderId="4" xfId="0" applyNumberFormat="1" applyFont="1" applyBorder="1" applyAlignment="1">
      <alignment horizontal="center" vertical="center"/>
    </xf>
    <xf numFmtId="2" fontId="16" fillId="0" borderId="5" xfId="0" applyNumberFormat="1" applyFont="1" applyBorder="1" applyAlignment="1">
      <alignment horizontal="center" vertical="center"/>
    </xf>
    <xf numFmtId="2" fontId="16" fillId="0" borderId="20" xfId="0" applyNumberFormat="1" applyFont="1" applyBorder="1" applyAlignment="1">
      <alignment horizontal="center" vertical="center"/>
    </xf>
    <xf numFmtId="164" fontId="45" fillId="0" borderId="4" xfId="0" applyNumberFormat="1" applyFont="1" applyBorder="1" applyAlignment="1">
      <alignment horizontal="center" vertical="center"/>
    </xf>
    <xf numFmtId="164" fontId="45" fillId="0" borderId="5" xfId="0" applyNumberFormat="1" applyFont="1" applyBorder="1" applyAlignment="1">
      <alignment horizontal="center" vertical="center"/>
    </xf>
    <xf numFmtId="3" fontId="17" fillId="0" borderId="4" xfId="0" applyNumberFormat="1" applyFont="1" applyBorder="1" applyAlignment="1">
      <alignment horizontal="center" vertical="center"/>
    </xf>
    <xf numFmtId="3" fontId="17" fillId="0" borderId="5" xfId="0" applyNumberFormat="1" applyFont="1" applyBorder="1" applyAlignment="1">
      <alignment horizontal="center" vertical="center"/>
    </xf>
    <xf numFmtId="0" fontId="48" fillId="0" borderId="2" xfId="0" applyFont="1" applyFill="1" applyBorder="1" applyAlignment="1">
      <alignment horizontal="center" vertical="center" wrapText="1"/>
    </xf>
    <xf numFmtId="0" fontId="48" fillId="0" borderId="6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6" fillId="0" borderId="20" xfId="0" applyFont="1" applyBorder="1" applyAlignment="1">
      <alignment horizontal="center" vertical="center"/>
    </xf>
    <xf numFmtId="164" fontId="45" fillId="0" borderId="20" xfId="0" applyNumberFormat="1" applyFont="1" applyBorder="1" applyAlignment="1">
      <alignment horizontal="center" vertical="center"/>
    </xf>
    <xf numFmtId="3" fontId="17" fillId="0" borderId="20" xfId="0" applyNumberFormat="1" applyFont="1" applyBorder="1" applyAlignment="1">
      <alignment horizontal="center" vertical="center"/>
    </xf>
    <xf numFmtId="9" fontId="17" fillId="0" borderId="20" xfId="0" applyNumberFormat="1" applyFont="1" applyBorder="1" applyAlignment="1">
      <alignment horizontal="center" vertical="center"/>
    </xf>
    <xf numFmtId="9" fontId="17" fillId="0" borderId="5" xfId="0" applyNumberFormat="1" applyFont="1" applyBorder="1" applyAlignment="1">
      <alignment horizontal="center" vertical="center"/>
    </xf>
    <xf numFmtId="164" fontId="48" fillId="14" borderId="20" xfId="0" applyNumberFormat="1" applyFont="1" applyFill="1" applyBorder="1" applyAlignment="1">
      <alignment horizontal="center" vertical="center"/>
    </xf>
    <xf numFmtId="164" fontId="48" fillId="14" borderId="5" xfId="0" applyNumberFormat="1" applyFont="1" applyFill="1" applyBorder="1" applyAlignment="1">
      <alignment horizontal="center" vertical="center"/>
    </xf>
    <xf numFmtId="164" fontId="48" fillId="14" borderId="4" xfId="0" applyNumberFormat="1" applyFont="1" applyFill="1" applyBorder="1" applyAlignment="1">
      <alignment horizontal="center" vertical="center"/>
    </xf>
    <xf numFmtId="168" fontId="17" fillId="0" borderId="4" xfId="0" applyNumberFormat="1" applyFont="1" applyBorder="1" applyAlignment="1">
      <alignment horizontal="center" vertical="center"/>
    </xf>
    <xf numFmtId="0" fontId="48" fillId="0" borderId="31" xfId="0" applyFont="1" applyFill="1" applyBorder="1" applyAlignment="1">
      <alignment horizontal="center" vertical="center" wrapText="1"/>
    </xf>
    <xf numFmtId="0" fontId="48" fillId="0" borderId="29" xfId="0" applyFont="1" applyFill="1" applyBorder="1" applyAlignment="1">
      <alignment horizontal="center" vertical="center" wrapText="1"/>
    </xf>
    <xf numFmtId="49" fontId="16" fillId="0" borderId="4" xfId="0" applyNumberFormat="1" applyFont="1" applyBorder="1" applyAlignment="1">
      <alignment horizontal="center" vertical="center"/>
    </xf>
    <xf numFmtId="49" fontId="16" fillId="0" borderId="5" xfId="0" applyNumberFormat="1" applyFont="1" applyBorder="1" applyAlignment="1">
      <alignment horizontal="center" vertical="center"/>
    </xf>
    <xf numFmtId="167" fontId="16" fillId="0" borderId="4" xfId="0" applyNumberFormat="1" applyFont="1" applyBorder="1" applyAlignment="1">
      <alignment horizontal="center" vertical="center"/>
    </xf>
    <xf numFmtId="167" fontId="16" fillId="0" borderId="5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167" fontId="16" fillId="0" borderId="1" xfId="0" applyNumberFormat="1" applyFont="1" applyBorder="1" applyAlignment="1">
      <alignment horizontal="center" vertical="center"/>
    </xf>
    <xf numFmtId="0" fontId="48" fillId="0" borderId="16" xfId="0" applyFont="1" applyFill="1" applyBorder="1" applyAlignment="1">
      <alignment horizontal="center" vertical="center" wrapText="1"/>
    </xf>
    <xf numFmtId="0" fontId="48" fillId="0" borderId="17" xfId="0" applyFont="1" applyFill="1" applyBorder="1" applyAlignment="1">
      <alignment horizontal="center" vertical="center" wrapText="1"/>
    </xf>
    <xf numFmtId="0" fontId="48" fillId="2" borderId="24" xfId="21" applyFont="1" applyFill="1" applyBorder="1" applyAlignment="1">
      <alignment horizontal="center" vertical="center"/>
    </xf>
    <xf numFmtId="0" fontId="48" fillId="2" borderId="25" xfId="21" applyFont="1" applyFill="1" applyBorder="1" applyAlignment="1">
      <alignment horizontal="center" vertical="center"/>
    </xf>
    <xf numFmtId="0" fontId="48" fillId="2" borderId="26" xfId="21" applyFont="1" applyFill="1" applyBorder="1" applyAlignment="1">
      <alignment horizontal="center" vertical="center"/>
    </xf>
    <xf numFmtId="0" fontId="44" fillId="2" borderId="0" xfId="21" applyFont="1" applyFill="1" applyBorder="1" applyAlignment="1">
      <alignment horizontal="center" vertical="center"/>
    </xf>
    <xf numFmtId="0" fontId="44" fillId="2" borderId="28" xfId="21" applyFont="1" applyFill="1" applyBorder="1" applyAlignment="1">
      <alignment horizontal="center" vertical="center"/>
    </xf>
    <xf numFmtId="0" fontId="44" fillId="2" borderId="25" xfId="21" applyFont="1" applyFill="1" applyBorder="1" applyAlignment="1">
      <alignment horizontal="center" vertical="center"/>
    </xf>
    <xf numFmtId="0" fontId="44" fillId="2" borderId="26" xfId="21" applyFont="1" applyFill="1" applyBorder="1" applyAlignment="1">
      <alignment horizontal="center" vertical="center"/>
    </xf>
    <xf numFmtId="0" fontId="44" fillId="2" borderId="27" xfId="21" applyFont="1" applyFill="1" applyBorder="1" applyAlignment="1">
      <alignment horizontal="left" vertical="center"/>
    </xf>
    <xf numFmtId="0" fontId="44" fillId="2" borderId="0" xfId="21" applyFont="1" applyFill="1" applyBorder="1" applyAlignment="1">
      <alignment horizontal="left" vertical="center"/>
    </xf>
    <xf numFmtId="3" fontId="40" fillId="13" borderId="0" xfId="0" applyNumberFormat="1" applyFont="1" applyFill="1" applyBorder="1" applyAlignment="1">
      <alignment horizontal="center" vertical="center"/>
    </xf>
    <xf numFmtId="0" fontId="39" fillId="11" borderId="0" xfId="0" applyFont="1" applyFill="1" applyBorder="1" applyAlignment="1">
      <alignment horizontal="right" vertical="center" indent="1"/>
    </xf>
    <xf numFmtId="0" fontId="41" fillId="11" borderId="0" xfId="0" applyFont="1" applyFill="1" applyBorder="1" applyAlignment="1">
      <alignment horizontal="right" vertical="center"/>
    </xf>
    <xf numFmtId="42" fontId="17" fillId="0" borderId="4" xfId="0" applyNumberFormat="1" applyFont="1" applyBorder="1" applyAlignment="1">
      <alignment horizontal="center" vertical="center"/>
    </xf>
    <xf numFmtId="42" fontId="17" fillId="0" borderId="5" xfId="0" applyNumberFormat="1" applyFont="1" applyBorder="1" applyAlignment="1">
      <alignment horizontal="center" vertical="center"/>
    </xf>
    <xf numFmtId="171" fontId="45" fillId="0" borderId="4" xfId="0" applyNumberFormat="1" applyFont="1" applyBorder="1" applyAlignment="1">
      <alignment horizontal="center" vertical="center"/>
    </xf>
    <xf numFmtId="171" fontId="45" fillId="0" borderId="5" xfId="0" applyNumberFormat="1" applyFont="1" applyBorder="1" applyAlignment="1">
      <alignment horizontal="center" vertical="center"/>
    </xf>
    <xf numFmtId="171" fontId="48" fillId="14" borderId="4" xfId="0" applyNumberFormat="1" applyFont="1" applyFill="1" applyBorder="1" applyAlignment="1">
      <alignment horizontal="center" vertical="center"/>
    </xf>
    <xf numFmtId="171" fontId="48" fillId="14" borderId="5" xfId="0" applyNumberFormat="1" applyFont="1" applyFill="1" applyBorder="1" applyAlignment="1">
      <alignment horizontal="center" vertical="center"/>
    </xf>
    <xf numFmtId="171" fontId="48" fillId="14" borderId="20" xfId="0" applyNumberFormat="1" applyFont="1" applyFill="1" applyBorder="1" applyAlignment="1">
      <alignment horizontal="center" vertical="center"/>
    </xf>
    <xf numFmtId="42" fontId="17" fillId="0" borderId="20" xfId="0" applyNumberFormat="1" applyFont="1" applyBorder="1" applyAlignment="1">
      <alignment horizontal="center" vertical="center"/>
    </xf>
    <xf numFmtId="171" fontId="45" fillId="0" borderId="20" xfId="0" applyNumberFormat="1" applyFont="1" applyBorder="1" applyAlignment="1">
      <alignment horizontal="center" vertical="center"/>
    </xf>
    <xf numFmtId="167" fontId="16" fillId="0" borderId="20" xfId="0" applyNumberFormat="1" applyFont="1" applyBorder="1" applyAlignment="1">
      <alignment horizontal="center" vertical="center"/>
    </xf>
    <xf numFmtId="49" fontId="16" fillId="0" borderId="20" xfId="0" applyNumberFormat="1" applyFont="1" applyBorder="1" applyAlignment="1">
      <alignment horizontal="center" vertical="center"/>
    </xf>
    <xf numFmtId="3" fontId="17" fillId="0" borderId="1" xfId="0" applyNumberFormat="1" applyFont="1" applyBorder="1" applyAlignment="1">
      <alignment horizontal="center" vertical="center"/>
    </xf>
    <xf numFmtId="9" fontId="17" fillId="0" borderId="1" xfId="0" applyNumberFormat="1" applyFont="1" applyBorder="1" applyAlignment="1">
      <alignment horizontal="center" vertical="center"/>
    </xf>
    <xf numFmtId="171" fontId="48" fillId="14" borderId="1" xfId="0" applyNumberFormat="1" applyFont="1" applyFill="1" applyBorder="1" applyAlignment="1">
      <alignment horizontal="center" vertical="center"/>
    </xf>
    <xf numFmtId="42" fontId="17" fillId="0" borderId="1" xfId="0" applyNumberFormat="1" applyFont="1" applyBorder="1" applyAlignment="1">
      <alignment horizontal="center" vertical="center"/>
    </xf>
    <xf numFmtId="171" fontId="45" fillId="0" borderId="1" xfId="0" applyNumberFormat="1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 wrapText="1"/>
    </xf>
    <xf numFmtId="167" fontId="16" fillId="0" borderId="2" xfId="0" applyNumberFormat="1" applyFont="1" applyBorder="1" applyAlignment="1">
      <alignment horizontal="center" vertical="center"/>
    </xf>
    <xf numFmtId="167" fontId="16" fillId="0" borderId="6" xfId="0" applyNumberFormat="1" applyFont="1" applyBorder="1" applyAlignment="1">
      <alignment horizontal="center" vertical="center"/>
    </xf>
    <xf numFmtId="167" fontId="16" fillId="0" borderId="3" xfId="0" applyNumberFormat="1" applyFont="1" applyBorder="1" applyAlignment="1">
      <alignment horizontal="center" vertical="center"/>
    </xf>
    <xf numFmtId="0" fontId="56" fillId="0" borderId="2" xfId="0" applyFont="1" applyFill="1" applyBorder="1" applyAlignment="1">
      <alignment horizontal="center" vertical="center" wrapText="1"/>
    </xf>
    <xf numFmtId="0" fontId="56" fillId="0" borderId="6" xfId="0" applyFont="1" applyFill="1" applyBorder="1" applyAlignment="1">
      <alignment horizontal="center" vertical="center" wrapText="1"/>
    </xf>
    <xf numFmtId="0" fontId="56" fillId="0" borderId="3" xfId="0" applyFont="1" applyFill="1" applyBorder="1" applyAlignment="1">
      <alignment horizontal="center" vertical="center" wrapText="1"/>
    </xf>
    <xf numFmtId="164" fontId="48" fillId="14" borderId="1" xfId="0" applyNumberFormat="1" applyFont="1" applyFill="1" applyBorder="1" applyAlignment="1">
      <alignment horizontal="center" vertical="center"/>
    </xf>
    <xf numFmtId="168" fontId="2" fillId="0" borderId="1" xfId="0" applyNumberFormat="1" applyFont="1" applyFill="1" applyBorder="1" applyAlignment="1">
      <alignment horizontal="center" vertical="center"/>
    </xf>
    <xf numFmtId="0" fontId="16" fillId="0" borderId="1" xfId="0" applyFont="1" applyBorder="1" applyAlignment="1">
      <alignment horizontal="left" vertical="center"/>
    </xf>
    <xf numFmtId="49" fontId="2" fillId="0" borderId="1" xfId="0" applyNumberFormat="1" applyFont="1" applyFill="1" applyBorder="1" applyAlignment="1">
      <alignment horizontal="center"/>
    </xf>
    <xf numFmtId="164" fontId="45" fillId="0" borderId="1" xfId="0" applyNumberFormat="1" applyFont="1" applyBorder="1" applyAlignment="1">
      <alignment horizontal="center" vertical="center"/>
    </xf>
    <xf numFmtId="9" fontId="2" fillId="0" borderId="1" xfId="0" applyNumberFormat="1" applyFont="1" applyFill="1" applyBorder="1" applyAlignment="1">
      <alignment horizontal="center" vertical="center"/>
    </xf>
    <xf numFmtId="49" fontId="2" fillId="0" borderId="4" xfId="0" applyNumberFormat="1" applyFont="1" applyFill="1" applyBorder="1" applyAlignment="1">
      <alignment horizontal="center" vertical="center"/>
    </xf>
    <xf numFmtId="49" fontId="2" fillId="0" borderId="5" xfId="0" applyNumberFormat="1" applyFont="1" applyFill="1" applyBorder="1" applyAlignment="1">
      <alignment horizontal="center" vertical="center"/>
    </xf>
    <xf numFmtId="0" fontId="36" fillId="0" borderId="0" xfId="0" applyFont="1" applyBorder="1" applyAlignment="1">
      <alignment horizontal="center"/>
    </xf>
    <xf numFmtId="0" fontId="35" fillId="10" borderId="21" xfId="21" applyFont="1" applyFill="1" applyBorder="1" applyAlignment="1">
      <alignment horizontal="center" vertical="center"/>
    </xf>
    <xf numFmtId="0" fontId="35" fillId="10" borderId="30" xfId="21" applyFont="1" applyFill="1" applyBorder="1" applyAlignment="1">
      <alignment horizontal="center" vertical="center"/>
    </xf>
    <xf numFmtId="0" fontId="35" fillId="10" borderId="21" xfId="21" applyFont="1" applyFill="1" applyBorder="1" applyAlignment="1">
      <alignment horizontal="center" vertical="center" wrapText="1"/>
    </xf>
    <xf numFmtId="0" fontId="35" fillId="10" borderId="30" xfId="21" applyFont="1" applyFill="1" applyBorder="1" applyAlignment="1">
      <alignment horizontal="center" vertical="center" wrapText="1"/>
    </xf>
    <xf numFmtId="0" fontId="38" fillId="2" borderId="21" xfId="21" applyFont="1" applyFill="1" applyBorder="1" applyAlignment="1">
      <alignment horizontal="center" vertical="center" wrapText="1"/>
    </xf>
    <xf numFmtId="0" fontId="38" fillId="2" borderId="30" xfId="21" applyFont="1" applyFill="1" applyBorder="1" applyAlignment="1">
      <alignment horizontal="center" vertical="center" wrapText="1"/>
    </xf>
    <xf numFmtId="0" fontId="56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/>
    </xf>
    <xf numFmtId="0" fontId="39" fillId="11" borderId="0" xfId="0" applyFont="1" applyFill="1" applyBorder="1" applyAlignment="1">
      <alignment horizontal="right" vertical="center"/>
    </xf>
    <xf numFmtId="168" fontId="17" fillId="0" borderId="1" xfId="0" applyNumberFormat="1" applyFont="1" applyBorder="1" applyAlignment="1">
      <alignment horizontal="center" vertical="center"/>
    </xf>
    <xf numFmtId="167" fontId="16" fillId="0" borderId="4" xfId="0" applyNumberFormat="1" applyFont="1" applyBorder="1" applyAlignment="1">
      <alignment horizontal="center" vertical="center" wrapText="1"/>
    </xf>
    <xf numFmtId="167" fontId="16" fillId="0" borderId="5" xfId="0" applyNumberFormat="1" applyFont="1" applyBorder="1" applyAlignment="1">
      <alignment horizontal="center" vertical="center" wrapText="1"/>
    </xf>
    <xf numFmtId="49" fontId="16" fillId="0" borderId="1" xfId="0" applyNumberFormat="1" applyFont="1" applyBorder="1" applyAlignment="1">
      <alignment horizontal="center" vertical="center"/>
    </xf>
    <xf numFmtId="164" fontId="45" fillId="0" borderId="1" xfId="0" applyNumberFormat="1" applyFont="1" applyFill="1" applyBorder="1" applyAlignment="1">
      <alignment horizontal="center" vertical="center"/>
    </xf>
    <xf numFmtId="9" fontId="0" fillId="0" borderId="1" xfId="0" applyNumberFormat="1" applyFont="1" applyFill="1" applyBorder="1" applyAlignment="1">
      <alignment horizontal="center" vertical="center"/>
    </xf>
    <xf numFmtId="169" fontId="0" fillId="0" borderId="1" xfId="0" applyNumberFormat="1" applyFont="1" applyFill="1" applyBorder="1" applyAlignment="1">
      <alignment horizontal="center" vertical="center"/>
    </xf>
    <xf numFmtId="167" fontId="0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0" fontId="35" fillId="10" borderId="14" xfId="21" applyFont="1" applyFill="1" applyBorder="1" applyAlignment="1">
      <alignment horizontal="center" vertical="center" wrapText="1"/>
    </xf>
    <xf numFmtId="0" fontId="35" fillId="10" borderId="22" xfId="21" applyFont="1" applyFill="1" applyBorder="1" applyAlignment="1">
      <alignment horizontal="center" vertical="center" wrapText="1"/>
    </xf>
    <xf numFmtId="0" fontId="35" fillId="10" borderId="12" xfId="21" applyFont="1" applyFill="1" applyBorder="1" applyAlignment="1">
      <alignment horizontal="center" vertical="center" wrapText="1"/>
    </xf>
    <xf numFmtId="0" fontId="35" fillId="10" borderId="13" xfId="21" applyFont="1" applyFill="1" applyBorder="1" applyAlignment="1">
      <alignment horizontal="center" vertical="center" wrapText="1"/>
    </xf>
    <xf numFmtId="0" fontId="35" fillId="0" borderId="1" xfId="2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/>
    </xf>
    <xf numFmtId="9" fontId="2" fillId="0" borderId="1" xfId="6" applyNumberFormat="1" applyFont="1" applyFill="1" applyBorder="1" applyAlignment="1">
      <alignment horizontal="center" vertical="center"/>
    </xf>
    <xf numFmtId="164" fontId="48" fillId="14" borderId="1" xfId="0" applyNumberFormat="1" applyFont="1" applyFill="1" applyBorder="1" applyAlignment="1">
      <alignment horizontal="center" vertical="center" wrapText="1"/>
    </xf>
    <xf numFmtId="49" fontId="2" fillId="0" borderId="4" xfId="6" applyNumberFormat="1" applyFont="1" applyFill="1" applyBorder="1" applyAlignment="1">
      <alignment horizontal="center" vertical="center"/>
    </xf>
    <xf numFmtId="49" fontId="2" fillId="0" borderId="5" xfId="6" applyNumberFormat="1" applyFont="1" applyFill="1" applyBorder="1" applyAlignment="1">
      <alignment horizontal="center" vertical="center"/>
    </xf>
    <xf numFmtId="0" fontId="48" fillId="0" borderId="15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 wrapText="1"/>
    </xf>
    <xf numFmtId="0" fontId="47" fillId="2" borderId="21" xfId="21" applyFont="1" applyFill="1" applyBorder="1" applyAlignment="1">
      <alignment horizontal="center" vertical="center" wrapText="1"/>
    </xf>
    <xf numFmtId="0" fontId="47" fillId="2" borderId="30" xfId="21" applyFont="1" applyFill="1" applyBorder="1" applyAlignment="1">
      <alignment horizontal="center" vertical="center" wrapText="1"/>
    </xf>
    <xf numFmtId="166" fontId="16" fillId="0" borderId="2" xfId="0" applyNumberFormat="1" applyFont="1" applyBorder="1" applyAlignment="1">
      <alignment horizontal="center" vertical="center"/>
    </xf>
    <xf numFmtId="166" fontId="16" fillId="0" borderId="3" xfId="0" applyNumberFormat="1" applyFont="1" applyBorder="1" applyAlignment="1">
      <alignment horizontal="center" vertical="center"/>
    </xf>
    <xf numFmtId="0" fontId="8" fillId="0" borderId="0" xfId="6" applyFont="1" applyFill="1" applyBorder="1" applyAlignment="1">
      <alignment horizontal="center"/>
    </xf>
  </cellXfs>
  <cellStyles count="50">
    <cellStyle name="_ET_STYLE_NoName_00_" xfId="3"/>
    <cellStyle name="_ET_STYLE_NoName_00_ 2" xfId="7"/>
    <cellStyle name="_ET_STYLE_NoName_00__ControlSystemSummary_2010128" xfId="8"/>
    <cellStyle name="_ET_STYLE_NoName_00__热水机" xfId="9"/>
    <cellStyle name="_x0007__Kentatsu_Line-up_2011_12.10.10" xfId="4"/>
    <cellStyle name="0,0_x000d__x000a_NA_x000d__x000a_ 2_2009 GREE CAC  Pricing for Q2 season_Valid before July 2009" xfId="10"/>
    <cellStyle name="0,0_x005f_x000d__x000a_NA_x005f_x000d__x000a_" xfId="11"/>
    <cellStyle name="Normal 2" xfId="1"/>
    <cellStyle name="Normal 2 2" xfId="23"/>
    <cellStyle name="Normal 2 2 2" xfId="19"/>
    <cellStyle name="Normal 2 3" xfId="24"/>
    <cellStyle name="Normal_MD Tech spec standard form_R410A风管机-TECH SPEC Form50Hz" xfId="26"/>
    <cellStyle name="Гиперссылка" xfId="49" builtinId="8"/>
    <cellStyle name="Гиперссылка 2" xfId="22"/>
    <cellStyle name="Денежный [0] 2" xfId="48"/>
    <cellStyle name="Обычный" xfId="0" builtinId="0"/>
    <cellStyle name="Обычный 10" xfId="27"/>
    <cellStyle name="Обычный 11" xfId="20"/>
    <cellStyle name="Обычный 12" xfId="28"/>
    <cellStyle name="Обычный 13" xfId="33"/>
    <cellStyle name="Обычный 2" xfId="2"/>
    <cellStyle name="Обычный 2 2" xfId="15"/>
    <cellStyle name="Обычный 2 3" xfId="29"/>
    <cellStyle name="Обычный 2_Lessar_home_gross_16 02 09 (3)" xfId="30"/>
    <cellStyle name="Обычный 3" xfId="6"/>
    <cellStyle name="Обычный 4" xfId="16"/>
    <cellStyle name="Обычный 5" xfId="18"/>
    <cellStyle name="Обычный 6" xfId="21"/>
    <cellStyle name="Обычный 7" xfId="25"/>
    <cellStyle name="Обычный 8" xfId="31"/>
    <cellStyle name="Обычный 9" xfId="32"/>
    <cellStyle name="Стиль 1" xfId="5"/>
    <cellStyle name="Финансовый [0] 2" xfId="47"/>
    <cellStyle name="표준_'07년 Line-up_LGEAK_060907" xfId="46"/>
    <cellStyle name="一般_G430" xfId="12"/>
    <cellStyle name="常规 2" xfId="13"/>
    <cellStyle name="常规_2008 Pricing_GMV R22_Before August 2008_USD_2009 GREE CAC Pricing for Q4 season_Valid thru Nov 2009" xfId="14"/>
    <cellStyle name="样式 1" xfId="17"/>
    <cellStyle name="㼿㼿" xfId="36"/>
    <cellStyle name="㼿㼿?" xfId="35"/>
    <cellStyle name="㼿㼿㼿" xfId="40"/>
    <cellStyle name="㼿㼿㼿?" xfId="45"/>
    <cellStyle name="㼿㼿㼿㼿" xfId="38"/>
    <cellStyle name="㼿㼿㼿㼿?" xfId="41"/>
    <cellStyle name="㼿㼿㼿㼿㼿" xfId="42"/>
    <cellStyle name="㼿㼿㼿㼿㼿?" xfId="39"/>
    <cellStyle name="㼿㼿㼿㼿㼿㼿?" xfId="34"/>
    <cellStyle name="㼿㼿㼿㼿㼿㼿㼿㼿" xfId="43"/>
    <cellStyle name="㼿㼿㼿㼿㼿㼿㼿㼿㼿" xfId="37"/>
    <cellStyle name="㼿㼿㼿㼿㼿㼿㼿㼿㼿㼿" xfId="44"/>
  </cellStyles>
  <dxfs count="0"/>
  <tableStyles count="0" defaultTableStyle="TableStyleMedium9" defaultPivotStyle="PivotStyleLight16"/>
  <colors>
    <mruColors>
      <color rgb="FFD71635"/>
      <color rgb="FFEF450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hyperlink" Target="#&#1057;&#1054;&#1044;&#1045;&#1056;&#1046;&#1040;&#1053;&#1048;&#1045;!A1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hyperlink" Target="#&#1057;&#1054;&#1044;&#1045;&#1056;&#1046;&#1040;&#1053;&#1048;&#1045;!A1"/><Relationship Id="rId1" Type="http://schemas.openxmlformats.org/officeDocument/2006/relationships/image" Target="../media/image1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jpeg"/><Relationship Id="rId3" Type="http://schemas.openxmlformats.org/officeDocument/2006/relationships/image" Target="../media/image14.jpeg"/><Relationship Id="rId7" Type="http://schemas.openxmlformats.org/officeDocument/2006/relationships/image" Target="../media/image18.jpeg"/><Relationship Id="rId2" Type="http://schemas.openxmlformats.org/officeDocument/2006/relationships/hyperlink" Target="#&#1057;&#1054;&#1044;&#1045;&#1056;&#1046;&#1040;&#1053;&#1048;&#1045;!A1"/><Relationship Id="rId1" Type="http://schemas.openxmlformats.org/officeDocument/2006/relationships/image" Target="../media/image1.png"/><Relationship Id="rId6" Type="http://schemas.openxmlformats.org/officeDocument/2006/relationships/image" Target="../media/image17.jpeg"/><Relationship Id="rId11" Type="http://schemas.openxmlformats.org/officeDocument/2006/relationships/image" Target="../media/image22.png"/><Relationship Id="rId5" Type="http://schemas.openxmlformats.org/officeDocument/2006/relationships/image" Target="../media/image16.jpeg"/><Relationship Id="rId10" Type="http://schemas.openxmlformats.org/officeDocument/2006/relationships/image" Target="../media/image21.png"/><Relationship Id="rId4" Type="http://schemas.openxmlformats.org/officeDocument/2006/relationships/image" Target="../media/image15.jpeg"/><Relationship Id="rId9" Type="http://schemas.openxmlformats.org/officeDocument/2006/relationships/image" Target="../media/image2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jpeg"/><Relationship Id="rId13" Type="http://schemas.openxmlformats.org/officeDocument/2006/relationships/hyperlink" Target="#&#1057;&#1054;&#1044;&#1045;&#1056;&#1046;&#1040;&#1053;&#1048;&#1045;!A1"/><Relationship Id="rId3" Type="http://schemas.openxmlformats.org/officeDocument/2006/relationships/image" Target="../media/image25.jpeg"/><Relationship Id="rId7" Type="http://schemas.openxmlformats.org/officeDocument/2006/relationships/image" Target="../media/image29.jpeg"/><Relationship Id="rId12" Type="http://schemas.openxmlformats.org/officeDocument/2006/relationships/image" Target="../media/image1.png"/><Relationship Id="rId2" Type="http://schemas.openxmlformats.org/officeDocument/2006/relationships/image" Target="../media/image24.jpeg"/><Relationship Id="rId1" Type="http://schemas.openxmlformats.org/officeDocument/2006/relationships/image" Target="../media/image23.jpeg"/><Relationship Id="rId6" Type="http://schemas.openxmlformats.org/officeDocument/2006/relationships/image" Target="../media/image28.jpeg"/><Relationship Id="rId11" Type="http://schemas.openxmlformats.org/officeDocument/2006/relationships/image" Target="../media/image33.jpeg"/><Relationship Id="rId5" Type="http://schemas.openxmlformats.org/officeDocument/2006/relationships/image" Target="../media/image27.jpeg"/><Relationship Id="rId15" Type="http://schemas.openxmlformats.org/officeDocument/2006/relationships/image" Target="../media/image35.png"/><Relationship Id="rId10" Type="http://schemas.openxmlformats.org/officeDocument/2006/relationships/image" Target="../media/image32.jpeg"/><Relationship Id="rId4" Type="http://schemas.openxmlformats.org/officeDocument/2006/relationships/image" Target="../media/image26.jpeg"/><Relationship Id="rId9" Type="http://schemas.openxmlformats.org/officeDocument/2006/relationships/image" Target="../media/image31.jpeg"/><Relationship Id="rId14" Type="http://schemas.openxmlformats.org/officeDocument/2006/relationships/image" Target="../media/image3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&#1057;&#1054;&#1044;&#1045;&#1056;&#1046;&#1040;&#1053;&#1048;&#1045;!A1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590550</xdr:colOff>
      <xdr:row>6</xdr:row>
      <xdr:rowOff>39718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896225" cy="118271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34</xdr:row>
      <xdr:rowOff>19050</xdr:rowOff>
    </xdr:from>
    <xdr:to>
      <xdr:col>13</xdr:col>
      <xdr:colOff>9525</xdr:colOff>
      <xdr:row>39</xdr:row>
      <xdr:rowOff>147484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7258050"/>
          <a:ext cx="7905750" cy="108093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10</xdr:row>
      <xdr:rowOff>133350</xdr:rowOff>
    </xdr:from>
    <xdr:to>
      <xdr:col>12</xdr:col>
      <xdr:colOff>567985</xdr:colOff>
      <xdr:row>21</xdr:row>
      <xdr:rowOff>429676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200" y="2209800"/>
          <a:ext cx="7797460" cy="33348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1083469</xdr:colOff>
      <xdr:row>0</xdr:row>
      <xdr:rowOff>2024101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513594" cy="2024101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0</xdr:row>
      <xdr:rowOff>257175</xdr:rowOff>
    </xdr:from>
    <xdr:to>
      <xdr:col>2</xdr:col>
      <xdr:colOff>876300</xdr:colOff>
      <xdr:row>0</xdr:row>
      <xdr:rowOff>552450</xdr:rowOff>
    </xdr:to>
    <xdr:sp macro="" textlink="">
      <xdr:nvSpPr>
        <xdr:cNvPr id="14" name="TextBox 13">
          <a:hlinkClick xmlns:r="http://schemas.openxmlformats.org/officeDocument/2006/relationships" r:id="rId2"/>
        </xdr:cNvPr>
        <xdr:cNvSpPr txBox="1"/>
      </xdr:nvSpPr>
      <xdr:spPr>
        <a:xfrm>
          <a:off x="2381250" y="257175"/>
          <a:ext cx="1619250" cy="29527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600" b="1">
              <a:solidFill>
                <a:schemeClr val="bg1"/>
              </a:solidFill>
            </a:rPr>
            <a:t>СОДЕРЖАНИЕ</a:t>
          </a:r>
        </a:p>
      </xdr:txBody>
    </xdr:sp>
    <xdr:clientData/>
  </xdr:twoCellAnchor>
  <xdr:twoCellAnchor>
    <xdr:from>
      <xdr:col>9</xdr:col>
      <xdr:colOff>647700</xdr:colOff>
      <xdr:row>0</xdr:row>
      <xdr:rowOff>247650</xdr:rowOff>
    </xdr:from>
    <xdr:to>
      <xdr:col>10</xdr:col>
      <xdr:colOff>1000125</xdr:colOff>
      <xdr:row>0</xdr:row>
      <xdr:rowOff>542925</xdr:rowOff>
    </xdr:to>
    <xdr:sp macro="" textlink="">
      <xdr:nvSpPr>
        <xdr:cNvPr id="15" name="TextBox 14"/>
        <xdr:cNvSpPr txBox="1"/>
      </xdr:nvSpPr>
      <xdr:spPr>
        <a:xfrm>
          <a:off x="9172575" y="247650"/>
          <a:ext cx="1619250" cy="29527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600" b="1">
              <a:solidFill>
                <a:schemeClr val="bg1"/>
              </a:solidFill>
            </a:rPr>
            <a:t>от</a:t>
          </a:r>
          <a:r>
            <a:rPr lang="ru-RU" sz="1600" b="1" baseline="0">
              <a:solidFill>
                <a:schemeClr val="bg1"/>
              </a:solidFill>
            </a:rPr>
            <a:t> 30.03.2015</a:t>
          </a:r>
          <a:endParaRPr lang="ru-RU" sz="16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3</xdr:col>
      <xdr:colOff>250031</xdr:colOff>
      <xdr:row>13</xdr:row>
      <xdr:rowOff>59532</xdr:rowOff>
    </xdr:from>
    <xdr:to>
      <xdr:col>5</xdr:col>
      <xdr:colOff>716367</xdr:colOff>
      <xdr:row>13</xdr:row>
      <xdr:rowOff>809405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57687" y="5548313"/>
          <a:ext cx="2109399" cy="749873"/>
        </a:xfrm>
        <a:prstGeom prst="rect">
          <a:avLst/>
        </a:prstGeom>
      </xdr:spPr>
    </xdr:pic>
    <xdr:clientData/>
  </xdr:twoCellAnchor>
  <xdr:twoCellAnchor editAs="oneCell">
    <xdr:from>
      <xdr:col>6</xdr:col>
      <xdr:colOff>154781</xdr:colOff>
      <xdr:row>13</xdr:row>
      <xdr:rowOff>83343</xdr:rowOff>
    </xdr:from>
    <xdr:to>
      <xdr:col>9</xdr:col>
      <xdr:colOff>85534</xdr:colOff>
      <xdr:row>13</xdr:row>
      <xdr:rowOff>785812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15125" y="5572124"/>
          <a:ext cx="2002440" cy="702469"/>
        </a:xfrm>
        <a:prstGeom prst="rect">
          <a:avLst/>
        </a:prstGeom>
      </xdr:spPr>
    </xdr:pic>
    <xdr:clientData/>
  </xdr:twoCellAnchor>
  <xdr:twoCellAnchor editAs="oneCell">
    <xdr:from>
      <xdr:col>9</xdr:col>
      <xdr:colOff>490204</xdr:colOff>
      <xdr:row>13</xdr:row>
      <xdr:rowOff>224171</xdr:rowOff>
    </xdr:from>
    <xdr:to>
      <xdr:col>10</xdr:col>
      <xdr:colOff>807142</xdr:colOff>
      <xdr:row>13</xdr:row>
      <xdr:rowOff>711893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5400000">
          <a:off x="9667875" y="5167312"/>
          <a:ext cx="487722" cy="1579001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22</xdr:row>
      <xdr:rowOff>59532</xdr:rowOff>
    </xdr:from>
    <xdr:to>
      <xdr:col>5</xdr:col>
      <xdr:colOff>642937</xdr:colOff>
      <xdr:row>22</xdr:row>
      <xdr:rowOff>697939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45781" y="7965282"/>
          <a:ext cx="2047875" cy="638407"/>
        </a:xfrm>
        <a:prstGeom prst="rect">
          <a:avLst/>
        </a:prstGeom>
      </xdr:spPr>
    </xdr:pic>
    <xdr:clientData/>
  </xdr:twoCellAnchor>
  <xdr:twoCellAnchor editAs="oneCell">
    <xdr:from>
      <xdr:col>3</xdr:col>
      <xdr:colOff>214313</xdr:colOff>
      <xdr:row>31</xdr:row>
      <xdr:rowOff>71438</xdr:rowOff>
    </xdr:from>
    <xdr:to>
      <xdr:col>5</xdr:col>
      <xdr:colOff>619125</xdr:colOff>
      <xdr:row>31</xdr:row>
      <xdr:rowOff>709845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21969" y="10251282"/>
          <a:ext cx="2047875" cy="638407"/>
        </a:xfrm>
        <a:prstGeom prst="rect">
          <a:avLst/>
        </a:prstGeom>
      </xdr:spPr>
    </xdr:pic>
    <xdr:clientData/>
  </xdr:twoCellAnchor>
  <xdr:twoCellAnchor editAs="oneCell">
    <xdr:from>
      <xdr:col>3</xdr:col>
      <xdr:colOff>166688</xdr:colOff>
      <xdr:row>42</xdr:row>
      <xdr:rowOff>47626</xdr:rowOff>
    </xdr:from>
    <xdr:to>
      <xdr:col>5</xdr:col>
      <xdr:colOff>556007</xdr:colOff>
      <xdr:row>42</xdr:row>
      <xdr:rowOff>714376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74344" y="12894470"/>
          <a:ext cx="2032382" cy="666750"/>
        </a:xfrm>
        <a:prstGeom prst="rect">
          <a:avLst/>
        </a:prstGeom>
      </xdr:spPr>
    </xdr:pic>
    <xdr:clientData/>
  </xdr:twoCellAnchor>
  <xdr:twoCellAnchor editAs="oneCell">
    <xdr:from>
      <xdr:col>3</xdr:col>
      <xdr:colOff>369095</xdr:colOff>
      <xdr:row>8</xdr:row>
      <xdr:rowOff>83344</xdr:rowOff>
    </xdr:from>
    <xdr:to>
      <xdr:col>5</xdr:col>
      <xdr:colOff>416719</xdr:colOff>
      <xdr:row>8</xdr:row>
      <xdr:rowOff>953429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476751" y="3929063"/>
          <a:ext cx="1690687" cy="870085"/>
        </a:xfrm>
        <a:prstGeom prst="rect">
          <a:avLst/>
        </a:prstGeom>
      </xdr:spPr>
    </xdr:pic>
    <xdr:clientData/>
  </xdr:twoCellAnchor>
  <xdr:twoCellAnchor editAs="oneCell">
    <xdr:from>
      <xdr:col>6</xdr:col>
      <xdr:colOff>261937</xdr:colOff>
      <xdr:row>8</xdr:row>
      <xdr:rowOff>244876</xdr:rowOff>
    </xdr:from>
    <xdr:to>
      <xdr:col>8</xdr:col>
      <xdr:colOff>333374</xdr:colOff>
      <xdr:row>8</xdr:row>
      <xdr:rowOff>706174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822281" y="4090595"/>
          <a:ext cx="1452562" cy="461298"/>
        </a:xfrm>
        <a:prstGeom prst="rect">
          <a:avLst/>
        </a:prstGeom>
      </xdr:spPr>
    </xdr:pic>
    <xdr:clientData/>
  </xdr:twoCellAnchor>
  <xdr:twoCellAnchor editAs="oneCell">
    <xdr:from>
      <xdr:col>6</xdr:col>
      <xdr:colOff>154781</xdr:colOff>
      <xdr:row>22</xdr:row>
      <xdr:rowOff>142875</xdr:rowOff>
    </xdr:from>
    <xdr:to>
      <xdr:col>8</xdr:col>
      <xdr:colOff>230726</xdr:colOff>
      <xdr:row>22</xdr:row>
      <xdr:rowOff>575729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715125" y="8191500"/>
          <a:ext cx="1457070" cy="432854"/>
        </a:xfrm>
        <a:prstGeom prst="rect">
          <a:avLst/>
        </a:prstGeom>
      </xdr:spPr>
    </xdr:pic>
    <xdr:clientData/>
  </xdr:twoCellAnchor>
  <xdr:twoCellAnchor editAs="oneCell">
    <xdr:from>
      <xdr:col>6</xdr:col>
      <xdr:colOff>95249</xdr:colOff>
      <xdr:row>31</xdr:row>
      <xdr:rowOff>142875</xdr:rowOff>
    </xdr:from>
    <xdr:to>
      <xdr:col>8</xdr:col>
      <xdr:colOff>171194</xdr:colOff>
      <xdr:row>31</xdr:row>
      <xdr:rowOff>575729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655593" y="10465594"/>
          <a:ext cx="1457070" cy="432854"/>
        </a:xfrm>
        <a:prstGeom prst="rect">
          <a:avLst/>
        </a:prstGeom>
      </xdr:spPr>
    </xdr:pic>
    <xdr:clientData/>
  </xdr:twoCellAnchor>
  <xdr:twoCellAnchor editAs="oneCell">
    <xdr:from>
      <xdr:col>5</xdr:col>
      <xdr:colOff>771524</xdr:colOff>
      <xdr:row>42</xdr:row>
      <xdr:rowOff>140493</xdr:rowOff>
    </xdr:from>
    <xdr:to>
      <xdr:col>8</xdr:col>
      <xdr:colOff>37844</xdr:colOff>
      <xdr:row>42</xdr:row>
      <xdr:rowOff>573347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522243" y="13130212"/>
          <a:ext cx="1457070" cy="432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1083469</xdr:colOff>
      <xdr:row>0</xdr:row>
      <xdr:rowOff>2024101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532644" cy="2024101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0</xdr:row>
      <xdr:rowOff>257175</xdr:rowOff>
    </xdr:from>
    <xdr:to>
      <xdr:col>2</xdr:col>
      <xdr:colOff>876300</xdr:colOff>
      <xdr:row>0</xdr:row>
      <xdr:rowOff>552450</xdr:rowOff>
    </xdr:to>
    <xdr:sp macro="" textlink="">
      <xdr:nvSpPr>
        <xdr:cNvPr id="3" name="TextBox 2">
          <a:hlinkClick xmlns:r="http://schemas.openxmlformats.org/officeDocument/2006/relationships" r:id="rId2"/>
        </xdr:cNvPr>
        <xdr:cNvSpPr txBox="1"/>
      </xdr:nvSpPr>
      <xdr:spPr>
        <a:xfrm>
          <a:off x="2419350" y="257175"/>
          <a:ext cx="1619250" cy="29527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600" b="1">
              <a:solidFill>
                <a:schemeClr val="bg1"/>
              </a:solidFill>
            </a:rPr>
            <a:t>СОДЕРЖАНИЕ</a:t>
          </a:r>
        </a:p>
      </xdr:txBody>
    </xdr:sp>
    <xdr:clientData/>
  </xdr:twoCellAnchor>
  <xdr:twoCellAnchor>
    <xdr:from>
      <xdr:col>9</xdr:col>
      <xdr:colOff>647700</xdr:colOff>
      <xdr:row>0</xdr:row>
      <xdr:rowOff>247650</xdr:rowOff>
    </xdr:from>
    <xdr:to>
      <xdr:col>10</xdr:col>
      <xdr:colOff>1000125</xdr:colOff>
      <xdr:row>0</xdr:row>
      <xdr:rowOff>542925</xdr:rowOff>
    </xdr:to>
    <xdr:sp macro="" textlink="">
      <xdr:nvSpPr>
        <xdr:cNvPr id="4" name="TextBox 3"/>
        <xdr:cNvSpPr txBox="1"/>
      </xdr:nvSpPr>
      <xdr:spPr>
        <a:xfrm>
          <a:off x="9324975" y="247650"/>
          <a:ext cx="1619250" cy="29527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600" b="1">
              <a:solidFill>
                <a:schemeClr val="bg1"/>
              </a:solidFill>
            </a:rPr>
            <a:t>от</a:t>
          </a:r>
          <a:r>
            <a:rPr lang="ru-RU" sz="1600" b="1" baseline="0">
              <a:solidFill>
                <a:schemeClr val="bg1"/>
              </a:solidFill>
            </a:rPr>
            <a:t> 30.03.2015</a:t>
          </a:r>
          <a:endParaRPr lang="ru-RU" sz="16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5</xdr:col>
      <xdr:colOff>771524</xdr:colOff>
      <xdr:row>30</xdr:row>
      <xdr:rowOff>140493</xdr:rowOff>
    </xdr:from>
    <xdr:to>
      <xdr:col>8</xdr:col>
      <xdr:colOff>37844</xdr:colOff>
      <xdr:row>30</xdr:row>
      <xdr:rowOff>573347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53199" y="13132593"/>
          <a:ext cx="1466595" cy="432854"/>
        </a:xfrm>
        <a:prstGeom prst="rect">
          <a:avLst/>
        </a:prstGeom>
      </xdr:spPr>
    </xdr:pic>
    <xdr:clientData/>
  </xdr:twoCellAnchor>
  <xdr:twoCellAnchor editAs="oneCell">
    <xdr:from>
      <xdr:col>3</xdr:col>
      <xdr:colOff>47626</xdr:colOff>
      <xdr:row>30</xdr:row>
      <xdr:rowOff>23812</xdr:rowOff>
    </xdr:from>
    <xdr:to>
      <xdr:col>5</xdr:col>
      <xdr:colOff>535781</xdr:colOff>
      <xdr:row>30</xdr:row>
      <xdr:rowOff>717404</xdr:rowOff>
    </xdr:to>
    <xdr:pic>
      <xdr:nvPicPr>
        <xdr:cNvPr id="16" name="Рисунок 1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3" t="5833" b="6926"/>
        <a:stretch>
          <a:fillRect/>
        </a:stretch>
      </xdr:blipFill>
      <xdr:spPr bwMode="auto">
        <a:xfrm>
          <a:off x="4191001" y="13013531"/>
          <a:ext cx="2131218" cy="693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130969</xdr:colOff>
      <xdr:row>17</xdr:row>
      <xdr:rowOff>0</xdr:rowOff>
    </xdr:from>
    <xdr:to>
      <xdr:col>5</xdr:col>
      <xdr:colOff>452437</xdr:colOff>
      <xdr:row>17</xdr:row>
      <xdr:rowOff>691910</xdr:rowOff>
    </xdr:to>
    <xdr:pic>
      <xdr:nvPicPr>
        <xdr:cNvPr id="17" name="Рисунок 1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4344" y="6250781"/>
          <a:ext cx="1964531" cy="6919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71437</xdr:colOff>
      <xdr:row>17</xdr:row>
      <xdr:rowOff>166687</xdr:rowOff>
    </xdr:from>
    <xdr:to>
      <xdr:col>8</xdr:col>
      <xdr:colOff>147382</xdr:colOff>
      <xdr:row>17</xdr:row>
      <xdr:rowOff>599541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67500" y="6417468"/>
          <a:ext cx="1457070" cy="432854"/>
        </a:xfrm>
        <a:prstGeom prst="rect">
          <a:avLst/>
        </a:prstGeom>
      </xdr:spPr>
    </xdr:pic>
    <xdr:clientData/>
  </xdr:twoCellAnchor>
  <xdr:twoCellAnchor editAs="oneCell">
    <xdr:from>
      <xdr:col>3</xdr:col>
      <xdr:colOff>107157</xdr:colOff>
      <xdr:row>8</xdr:row>
      <xdr:rowOff>130969</xdr:rowOff>
    </xdr:from>
    <xdr:to>
      <xdr:col>5</xdr:col>
      <xdr:colOff>428625</xdr:colOff>
      <xdr:row>8</xdr:row>
      <xdr:rowOff>822879</xdr:rowOff>
    </xdr:to>
    <xdr:pic>
      <xdr:nvPicPr>
        <xdr:cNvPr id="20" name="Рисунок 1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0532" y="3964782"/>
          <a:ext cx="1964531" cy="6919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47624</xdr:colOff>
      <xdr:row>8</xdr:row>
      <xdr:rowOff>226219</xdr:rowOff>
    </xdr:from>
    <xdr:to>
      <xdr:col>8</xdr:col>
      <xdr:colOff>123569</xdr:colOff>
      <xdr:row>8</xdr:row>
      <xdr:rowOff>659073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43687" y="4060032"/>
          <a:ext cx="1457070" cy="432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27214</xdr:colOff>
      <xdr:row>0</xdr:row>
      <xdr:rowOff>0</xdr:rowOff>
    </xdr:from>
    <xdr:to>
      <xdr:col>12</xdr:col>
      <xdr:colOff>996383</xdr:colOff>
      <xdr:row>0</xdr:row>
      <xdr:rowOff>1973036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" y="0"/>
          <a:ext cx="14657955" cy="1973036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0</xdr:row>
      <xdr:rowOff>257175</xdr:rowOff>
    </xdr:from>
    <xdr:to>
      <xdr:col>2</xdr:col>
      <xdr:colOff>876300</xdr:colOff>
      <xdr:row>0</xdr:row>
      <xdr:rowOff>552450</xdr:rowOff>
    </xdr:to>
    <xdr:sp macro="" textlink="">
      <xdr:nvSpPr>
        <xdr:cNvPr id="3" name="TextBox 2">
          <a:hlinkClick xmlns:r="http://schemas.openxmlformats.org/officeDocument/2006/relationships" r:id="rId2"/>
        </xdr:cNvPr>
        <xdr:cNvSpPr txBox="1"/>
      </xdr:nvSpPr>
      <xdr:spPr>
        <a:xfrm>
          <a:off x="2419350" y="257175"/>
          <a:ext cx="1619250" cy="29527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600" b="1">
              <a:solidFill>
                <a:schemeClr val="bg1"/>
              </a:solidFill>
            </a:rPr>
            <a:t>СОДЕРЖАНИЕ</a:t>
          </a:r>
        </a:p>
      </xdr:txBody>
    </xdr:sp>
    <xdr:clientData/>
  </xdr:twoCellAnchor>
  <xdr:twoCellAnchor>
    <xdr:from>
      <xdr:col>9</xdr:col>
      <xdr:colOff>647700</xdr:colOff>
      <xdr:row>0</xdr:row>
      <xdr:rowOff>247650</xdr:rowOff>
    </xdr:from>
    <xdr:to>
      <xdr:col>10</xdr:col>
      <xdr:colOff>1000125</xdr:colOff>
      <xdr:row>0</xdr:row>
      <xdr:rowOff>542925</xdr:rowOff>
    </xdr:to>
    <xdr:sp macro="" textlink="">
      <xdr:nvSpPr>
        <xdr:cNvPr id="4" name="TextBox 3"/>
        <xdr:cNvSpPr txBox="1"/>
      </xdr:nvSpPr>
      <xdr:spPr>
        <a:xfrm>
          <a:off x="9324975" y="247650"/>
          <a:ext cx="1619250" cy="29527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600" b="1">
              <a:solidFill>
                <a:schemeClr val="bg1"/>
              </a:solidFill>
            </a:rPr>
            <a:t>от</a:t>
          </a:r>
          <a:r>
            <a:rPr lang="ru-RU" sz="1600" b="1" baseline="0">
              <a:solidFill>
                <a:schemeClr val="bg1"/>
              </a:solidFill>
            </a:rPr>
            <a:t> 30.03.2015</a:t>
          </a:r>
          <a:endParaRPr lang="ru-RU" sz="1600" b="1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95252</xdr:colOff>
      <xdr:row>8</xdr:row>
      <xdr:rowOff>145596</xdr:rowOff>
    </xdr:from>
    <xdr:to>
      <xdr:col>5</xdr:col>
      <xdr:colOff>170091</xdr:colOff>
      <xdr:row>8</xdr:row>
      <xdr:rowOff>858505</xdr:rowOff>
    </xdr:to>
    <xdr:pic>
      <xdr:nvPicPr>
        <xdr:cNvPr id="5" name="Рисунок 3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7145" y="3873953"/>
          <a:ext cx="945696" cy="712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540204</xdr:colOff>
      <xdr:row>8</xdr:row>
      <xdr:rowOff>40820</xdr:rowOff>
    </xdr:from>
    <xdr:to>
      <xdr:col>6</xdr:col>
      <xdr:colOff>435429</xdr:colOff>
      <xdr:row>8</xdr:row>
      <xdr:rowOff>889403</xdr:rowOff>
    </xdr:to>
    <xdr:pic>
      <xdr:nvPicPr>
        <xdr:cNvPr id="6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2954" y="3769177"/>
          <a:ext cx="766082" cy="848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693965</xdr:colOff>
      <xdr:row>16</xdr:row>
      <xdr:rowOff>68036</xdr:rowOff>
    </xdr:from>
    <xdr:to>
      <xdr:col>5</xdr:col>
      <xdr:colOff>367394</xdr:colOff>
      <xdr:row>17</xdr:row>
      <xdr:rowOff>5535</xdr:rowOff>
    </xdr:to>
    <xdr:pic>
      <xdr:nvPicPr>
        <xdr:cNvPr id="7" name="Рисунок 3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37" t="1186" r="6282" b="1894"/>
        <a:stretch>
          <a:fillRect/>
        </a:stretch>
      </xdr:blipFill>
      <xdr:spPr bwMode="auto">
        <a:xfrm>
          <a:off x="6585858" y="6191250"/>
          <a:ext cx="544286" cy="8763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258535</xdr:colOff>
      <xdr:row>22</xdr:row>
      <xdr:rowOff>95249</xdr:rowOff>
    </xdr:from>
    <xdr:to>
      <xdr:col>5</xdr:col>
      <xdr:colOff>733120</xdr:colOff>
      <xdr:row>22</xdr:row>
      <xdr:rowOff>789214</xdr:rowOff>
    </xdr:to>
    <xdr:pic>
      <xdr:nvPicPr>
        <xdr:cNvPr id="8" name="Рисунок 2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0428" y="8109856"/>
          <a:ext cx="1345442" cy="693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19196</xdr:colOff>
      <xdr:row>29</xdr:row>
      <xdr:rowOff>119062</xdr:rowOff>
    </xdr:from>
    <xdr:to>
      <xdr:col>6</xdr:col>
      <xdr:colOff>616745</xdr:colOff>
      <xdr:row>29</xdr:row>
      <xdr:rowOff>869157</xdr:rowOff>
    </xdr:to>
    <xdr:pic>
      <xdr:nvPicPr>
        <xdr:cNvPr id="10" name="Рисунок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696" y="10191750"/>
          <a:ext cx="2359674" cy="750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321469</xdr:colOff>
      <xdr:row>42</xdr:row>
      <xdr:rowOff>130969</xdr:rowOff>
    </xdr:from>
    <xdr:to>
      <xdr:col>5</xdr:col>
      <xdr:colOff>497681</xdr:colOff>
      <xdr:row>42</xdr:row>
      <xdr:rowOff>826294</xdr:rowOff>
    </xdr:to>
    <xdr:pic>
      <xdr:nvPicPr>
        <xdr:cNvPr id="13" name="Рисунок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6969" y="14156532"/>
          <a:ext cx="10572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166687</xdr:colOff>
      <xdr:row>47</xdr:row>
      <xdr:rowOff>178593</xdr:rowOff>
    </xdr:from>
    <xdr:to>
      <xdr:col>5</xdr:col>
      <xdr:colOff>717579</xdr:colOff>
      <xdr:row>47</xdr:row>
      <xdr:rowOff>809624</xdr:rowOff>
    </xdr:to>
    <xdr:pic>
      <xdr:nvPicPr>
        <xdr:cNvPr id="14" name="Рисунок 1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2187" y="15894843"/>
          <a:ext cx="1431955" cy="631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333375</xdr:colOff>
      <xdr:row>53</xdr:row>
      <xdr:rowOff>-1</xdr:rowOff>
    </xdr:from>
    <xdr:to>
      <xdr:col>5</xdr:col>
      <xdr:colOff>571499</xdr:colOff>
      <xdr:row>53</xdr:row>
      <xdr:rowOff>882182</xdr:rowOff>
    </xdr:to>
    <xdr:pic>
      <xdr:nvPicPr>
        <xdr:cNvPr id="15" name="Рисунок 1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17597437"/>
          <a:ext cx="1119187" cy="8821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381001</xdr:colOff>
      <xdr:row>35</xdr:row>
      <xdr:rowOff>95250</xdr:rowOff>
    </xdr:from>
    <xdr:to>
      <xdr:col>5</xdr:col>
      <xdr:colOff>627796</xdr:colOff>
      <xdr:row>35</xdr:row>
      <xdr:rowOff>851220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286501" y="12049125"/>
          <a:ext cx="1127858" cy="7559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381000</xdr:colOff>
      <xdr:row>12</xdr:row>
      <xdr:rowOff>42331</xdr:rowOff>
    </xdr:from>
    <xdr:to>
      <xdr:col>6</xdr:col>
      <xdr:colOff>325966</xdr:colOff>
      <xdr:row>12</xdr:row>
      <xdr:rowOff>836082</xdr:rowOff>
    </xdr:to>
    <xdr:grpSp>
      <xdr:nvGrpSpPr>
        <xdr:cNvPr id="2" name="Группа 37"/>
        <xdr:cNvGrpSpPr>
          <a:grpSpLocks/>
        </xdr:cNvGrpSpPr>
      </xdr:nvGrpSpPr>
      <xdr:grpSpPr bwMode="auto">
        <a:xfrm>
          <a:off x="5905500" y="6000748"/>
          <a:ext cx="2252133" cy="793751"/>
          <a:chOff x="2543175" y="2857500"/>
          <a:chExt cx="2209800" cy="742950"/>
        </a:xfrm>
      </xdr:grpSpPr>
      <xdr:pic>
        <xdr:nvPicPr>
          <xdr:cNvPr id="3" name="Рисунок 18" descr="T18H-LC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5772" b="10159"/>
          <a:stretch>
            <a:fillRect/>
          </a:stretch>
        </xdr:blipFill>
        <xdr:spPr bwMode="auto">
          <a:xfrm>
            <a:off x="2543175" y="2857500"/>
            <a:ext cx="1343025" cy="742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Рисунок 19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886200" y="3171825"/>
            <a:ext cx="361950" cy="3524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Рисунок 20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95775" y="3028950"/>
            <a:ext cx="457200" cy="5429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4</xdr:col>
      <xdr:colOff>95249</xdr:colOff>
      <xdr:row>40</xdr:row>
      <xdr:rowOff>137584</xdr:rowOff>
    </xdr:from>
    <xdr:to>
      <xdr:col>5</xdr:col>
      <xdr:colOff>869949</xdr:colOff>
      <xdr:row>40</xdr:row>
      <xdr:rowOff>861484</xdr:rowOff>
    </xdr:to>
    <xdr:grpSp>
      <xdr:nvGrpSpPr>
        <xdr:cNvPr id="6" name="Группа 47"/>
        <xdr:cNvGrpSpPr>
          <a:grpSpLocks/>
        </xdr:cNvGrpSpPr>
      </xdr:nvGrpSpPr>
      <xdr:grpSpPr bwMode="auto">
        <a:xfrm>
          <a:off x="6286499" y="12181417"/>
          <a:ext cx="1504950" cy="723900"/>
          <a:chOff x="2771775" y="17592675"/>
          <a:chExt cx="1504950" cy="723900"/>
        </a:xfrm>
      </xdr:grpSpPr>
      <xdr:pic>
        <xdr:nvPicPr>
          <xdr:cNvPr id="7" name="Рисунок 27" descr="T09H-LF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771775" y="17592675"/>
            <a:ext cx="1019175" cy="7239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Рисунок 28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24300" y="17926050"/>
            <a:ext cx="352425" cy="3524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3</xdr:col>
      <xdr:colOff>412750</xdr:colOff>
      <xdr:row>61</xdr:row>
      <xdr:rowOff>84667</xdr:rowOff>
    </xdr:from>
    <xdr:to>
      <xdr:col>5</xdr:col>
      <xdr:colOff>425450</xdr:colOff>
      <xdr:row>61</xdr:row>
      <xdr:rowOff>779992</xdr:rowOff>
    </xdr:to>
    <xdr:pic>
      <xdr:nvPicPr>
        <xdr:cNvPr id="9" name="Рисунок 36" descr="T24H-LD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3083" y="12308417"/>
          <a:ext cx="14097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886883</xdr:colOff>
      <xdr:row>61</xdr:row>
      <xdr:rowOff>360892</xdr:rowOff>
    </xdr:from>
    <xdr:to>
      <xdr:col>7</xdr:col>
      <xdr:colOff>381000</xdr:colOff>
      <xdr:row>61</xdr:row>
      <xdr:rowOff>799042</xdr:rowOff>
    </xdr:to>
    <xdr:pic>
      <xdr:nvPicPr>
        <xdr:cNvPr id="10" name="Рисунок 3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1883" y="12584642"/>
          <a:ext cx="14097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505883</xdr:colOff>
      <xdr:row>61</xdr:row>
      <xdr:rowOff>389467</xdr:rowOff>
    </xdr:from>
    <xdr:to>
      <xdr:col>5</xdr:col>
      <xdr:colOff>858308</xdr:colOff>
      <xdr:row>61</xdr:row>
      <xdr:rowOff>732367</xdr:rowOff>
    </xdr:to>
    <xdr:pic>
      <xdr:nvPicPr>
        <xdr:cNvPr id="11" name="Рисунок 3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0883" y="12613217"/>
          <a:ext cx="3524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349250</xdr:colOff>
      <xdr:row>82</xdr:row>
      <xdr:rowOff>116416</xdr:rowOff>
    </xdr:from>
    <xdr:to>
      <xdr:col>5</xdr:col>
      <xdr:colOff>466725</xdr:colOff>
      <xdr:row>82</xdr:row>
      <xdr:rowOff>821266</xdr:rowOff>
    </xdr:to>
    <xdr:pic>
      <xdr:nvPicPr>
        <xdr:cNvPr id="12" name="Рисунок 57" descr="TFR30B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003" b="26315"/>
        <a:stretch>
          <a:fillRect/>
        </a:stretch>
      </xdr:blipFill>
      <xdr:spPr bwMode="auto">
        <a:xfrm>
          <a:off x="5979583" y="17092083"/>
          <a:ext cx="15144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880533</xdr:colOff>
      <xdr:row>82</xdr:row>
      <xdr:rowOff>383116</xdr:rowOff>
    </xdr:from>
    <xdr:to>
      <xdr:col>7</xdr:col>
      <xdr:colOff>336550</xdr:colOff>
      <xdr:row>82</xdr:row>
      <xdr:rowOff>802216</xdr:rowOff>
    </xdr:to>
    <xdr:pic>
      <xdr:nvPicPr>
        <xdr:cNvPr id="13" name="Рисунок 5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5533" y="17358783"/>
          <a:ext cx="13716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528108</xdr:colOff>
      <xdr:row>82</xdr:row>
      <xdr:rowOff>411691</xdr:rowOff>
    </xdr:from>
    <xdr:to>
      <xdr:col>5</xdr:col>
      <xdr:colOff>851958</xdr:colOff>
      <xdr:row>82</xdr:row>
      <xdr:rowOff>735541</xdr:rowOff>
    </xdr:to>
    <xdr:pic>
      <xdr:nvPicPr>
        <xdr:cNvPr id="14" name="Рисунок 6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3108" y="17387358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58964</xdr:colOff>
      <xdr:row>0</xdr:row>
      <xdr:rowOff>0</xdr:rowOff>
    </xdr:from>
    <xdr:to>
      <xdr:col>12</xdr:col>
      <xdr:colOff>486833</xdr:colOff>
      <xdr:row>0</xdr:row>
      <xdr:rowOff>2036243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64" y="0"/>
          <a:ext cx="13254869" cy="2036243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0</xdr:row>
      <xdr:rowOff>257175</xdr:rowOff>
    </xdr:from>
    <xdr:to>
      <xdr:col>2</xdr:col>
      <xdr:colOff>876300</xdr:colOff>
      <xdr:row>0</xdr:row>
      <xdr:rowOff>552450</xdr:rowOff>
    </xdr:to>
    <xdr:sp macro="" textlink="">
      <xdr:nvSpPr>
        <xdr:cNvPr id="16" name="TextBox 15">
          <a:hlinkClick xmlns:r="http://schemas.openxmlformats.org/officeDocument/2006/relationships" r:id="rId13"/>
        </xdr:cNvPr>
        <xdr:cNvSpPr txBox="1"/>
      </xdr:nvSpPr>
      <xdr:spPr>
        <a:xfrm>
          <a:off x="3238500" y="257175"/>
          <a:ext cx="1771650" cy="29527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600" b="1">
              <a:solidFill>
                <a:schemeClr val="bg1"/>
              </a:solidFill>
            </a:rPr>
            <a:t>СОДЕРЖАНИЕ</a:t>
          </a:r>
        </a:p>
      </xdr:txBody>
    </xdr:sp>
    <xdr:clientData/>
  </xdr:twoCellAnchor>
  <xdr:twoCellAnchor>
    <xdr:from>
      <xdr:col>9</xdr:col>
      <xdr:colOff>148167</xdr:colOff>
      <xdr:row>0</xdr:row>
      <xdr:rowOff>247650</xdr:rowOff>
    </xdr:from>
    <xdr:to>
      <xdr:col>10</xdr:col>
      <xdr:colOff>609600</xdr:colOff>
      <xdr:row>0</xdr:row>
      <xdr:rowOff>542925</xdr:rowOff>
    </xdr:to>
    <xdr:sp macro="" textlink="">
      <xdr:nvSpPr>
        <xdr:cNvPr id="17" name="TextBox 16"/>
        <xdr:cNvSpPr txBox="1"/>
      </xdr:nvSpPr>
      <xdr:spPr>
        <a:xfrm>
          <a:off x="10318750" y="247650"/>
          <a:ext cx="1519767" cy="29527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600" b="1">
              <a:solidFill>
                <a:schemeClr val="bg1"/>
              </a:solidFill>
            </a:rPr>
            <a:t>от</a:t>
          </a:r>
          <a:r>
            <a:rPr lang="ru-RU" sz="1600" b="1" baseline="0">
              <a:solidFill>
                <a:schemeClr val="bg1"/>
              </a:solidFill>
            </a:rPr>
            <a:t> 30.03.2015</a:t>
          </a:r>
          <a:endParaRPr lang="ru-RU" sz="16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5</xdr:col>
      <xdr:colOff>243417</xdr:colOff>
      <xdr:row>9</xdr:row>
      <xdr:rowOff>137584</xdr:rowOff>
    </xdr:from>
    <xdr:to>
      <xdr:col>5</xdr:col>
      <xdr:colOff>676271</xdr:colOff>
      <xdr:row>9</xdr:row>
      <xdr:rowOff>1088642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228417" y="4572001"/>
          <a:ext cx="432854" cy="951058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9</xdr:row>
      <xdr:rowOff>63500</xdr:rowOff>
    </xdr:from>
    <xdr:to>
      <xdr:col>4</xdr:col>
      <xdr:colOff>550195</xdr:colOff>
      <xdr:row>9</xdr:row>
      <xdr:rowOff>1136489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445250" y="4497917"/>
          <a:ext cx="359695" cy="107298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0</xdr:rowOff>
    </xdr:from>
    <xdr:to>
      <xdr:col>13</xdr:col>
      <xdr:colOff>36246</xdr:colOff>
      <xdr:row>0</xdr:row>
      <xdr:rowOff>1943100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0"/>
          <a:ext cx="13228371" cy="1943100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0</xdr:row>
      <xdr:rowOff>257175</xdr:rowOff>
    </xdr:from>
    <xdr:to>
      <xdr:col>2</xdr:col>
      <xdr:colOff>876300</xdr:colOff>
      <xdr:row>0</xdr:row>
      <xdr:rowOff>552450</xdr:rowOff>
    </xdr:to>
    <xdr:sp macro="" textlink="">
      <xdr:nvSpPr>
        <xdr:cNvPr id="3" name="TextBox 2">
          <a:hlinkClick xmlns:r="http://schemas.openxmlformats.org/officeDocument/2006/relationships" r:id="rId2"/>
        </xdr:cNvPr>
        <xdr:cNvSpPr txBox="1"/>
      </xdr:nvSpPr>
      <xdr:spPr>
        <a:xfrm>
          <a:off x="2381250" y="257175"/>
          <a:ext cx="1619250" cy="29527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600" b="1">
              <a:solidFill>
                <a:schemeClr val="bg1"/>
              </a:solidFill>
            </a:rPr>
            <a:t>СОДЕРЖАНИЕ</a:t>
          </a:r>
        </a:p>
      </xdr:txBody>
    </xdr:sp>
    <xdr:clientData/>
  </xdr:twoCellAnchor>
  <xdr:twoCellAnchor>
    <xdr:from>
      <xdr:col>9</xdr:col>
      <xdr:colOff>647700</xdr:colOff>
      <xdr:row>0</xdr:row>
      <xdr:rowOff>247650</xdr:rowOff>
    </xdr:from>
    <xdr:to>
      <xdr:col>10</xdr:col>
      <xdr:colOff>1000125</xdr:colOff>
      <xdr:row>0</xdr:row>
      <xdr:rowOff>542925</xdr:rowOff>
    </xdr:to>
    <xdr:sp macro="" textlink="">
      <xdr:nvSpPr>
        <xdr:cNvPr id="4" name="TextBox 3"/>
        <xdr:cNvSpPr txBox="1"/>
      </xdr:nvSpPr>
      <xdr:spPr>
        <a:xfrm>
          <a:off x="9286875" y="247650"/>
          <a:ext cx="1619250" cy="29527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600" b="1">
              <a:solidFill>
                <a:schemeClr val="bg1"/>
              </a:solidFill>
            </a:rPr>
            <a:t>от</a:t>
          </a:r>
          <a:r>
            <a:rPr lang="ru-RU" sz="1600" b="1" baseline="0">
              <a:solidFill>
                <a:schemeClr val="bg1"/>
              </a:solidFill>
            </a:rPr>
            <a:t> 30.03.2015</a:t>
          </a:r>
          <a:endParaRPr lang="ru-RU" sz="1600" b="1">
            <a:solidFill>
              <a:schemeClr val="bg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workbookViewId="0">
      <selection activeCell="Q21" sqref="Q21"/>
    </sheetView>
  </sheetViews>
  <sheetFormatPr defaultRowHeight="15"/>
  <cols>
    <col min="2" max="2" width="9" customWidth="1"/>
  </cols>
  <sheetData>
    <row r="1" spans="1:13">
      <c r="A1" s="81"/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</row>
    <row r="2" spans="1:13">
      <c r="A2" s="81"/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</row>
    <row r="3" spans="1:13">
      <c r="A3" s="81"/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</row>
    <row r="4" spans="1:13">
      <c r="A4" s="81"/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</row>
    <row r="5" spans="1:13">
      <c r="A5" s="81"/>
      <c r="B5" s="81"/>
      <c r="C5" s="81"/>
      <c r="D5" s="81"/>
      <c r="E5" s="81"/>
      <c r="F5" s="81"/>
      <c r="G5" s="81"/>
      <c r="H5" s="81"/>
      <c r="I5" s="81"/>
      <c r="J5" s="81"/>
      <c r="K5" s="81"/>
      <c r="L5" s="81"/>
      <c r="M5" s="81"/>
    </row>
    <row r="6" spans="1:13">
      <c r="A6" s="81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</row>
    <row r="7" spans="1:13" ht="28.5" customHeight="1">
      <c r="A7" s="113" t="s">
        <v>403</v>
      </c>
      <c r="B7" s="113"/>
      <c r="C7" s="113"/>
      <c r="D7" s="113"/>
      <c r="E7" s="113"/>
      <c r="F7" s="113"/>
      <c r="G7" s="113"/>
      <c r="H7" s="113"/>
      <c r="I7" s="113"/>
      <c r="J7" s="113"/>
      <c r="K7" s="113"/>
      <c r="L7" s="113"/>
      <c r="M7" s="113"/>
    </row>
    <row r="8" spans="1:13" ht="15" customHeight="1">
      <c r="A8" s="96"/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</row>
    <row r="9" spans="1:13" ht="15" customHeight="1">
      <c r="A9" s="114" t="s">
        <v>491</v>
      </c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</row>
    <row r="10" spans="1:13" ht="15" customHeight="1">
      <c r="A10" s="114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</row>
    <row r="11" spans="1:13" ht="21.75" customHeight="1">
      <c r="A11" s="114"/>
      <c r="B11" s="114"/>
      <c r="C11" s="114"/>
      <c r="D11" s="114"/>
      <c r="E11" s="114"/>
      <c r="F11" s="114"/>
      <c r="G11" s="114"/>
      <c r="H11" s="114"/>
      <c r="I11" s="114"/>
      <c r="J11" s="114"/>
      <c r="K11" s="114"/>
      <c r="L11" s="114"/>
      <c r="M11" s="114"/>
    </row>
    <row r="12" spans="1:13" ht="21.75" customHeight="1">
      <c r="A12" s="114"/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</row>
    <row r="13" spans="1:13" ht="21.75" customHeight="1">
      <c r="A13" s="114"/>
      <c r="B13" s="114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</row>
    <row r="14" spans="1:13" ht="21.75" customHeight="1">
      <c r="A14" s="114"/>
      <c r="B14" s="114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</row>
    <row r="15" spans="1:13" ht="21.75" customHeight="1">
      <c r="A15" s="114"/>
      <c r="B15" s="114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</row>
    <row r="16" spans="1:13" ht="21.75" customHeight="1">
      <c r="A16" s="114"/>
      <c r="B16" s="114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</row>
    <row r="17" spans="1:13" ht="21.75" customHeight="1">
      <c r="A17" s="114"/>
      <c r="B17" s="114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</row>
    <row r="18" spans="1:13" ht="21.75" customHeight="1">
      <c r="A18" s="114"/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</row>
    <row r="19" spans="1:13" ht="21.75" customHeight="1">
      <c r="A19" s="114"/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</row>
    <row r="20" spans="1:13" ht="21.75" customHeight="1">
      <c r="A20" s="114"/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</row>
    <row r="21" spans="1:13" ht="21.75" customHeight="1">
      <c r="A21" s="114"/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</row>
    <row r="22" spans="1:13" ht="45" customHeight="1">
      <c r="A22" s="115"/>
      <c r="B22" s="115"/>
      <c r="C22" s="115"/>
      <c r="D22" s="115"/>
      <c r="E22" s="115"/>
      <c r="F22" s="115"/>
      <c r="G22" s="115"/>
      <c r="H22" s="115"/>
      <c r="I22" s="115"/>
      <c r="J22" s="115"/>
      <c r="K22" s="115"/>
      <c r="L22" s="115"/>
      <c r="M22" s="115"/>
    </row>
    <row r="23" spans="1:13" ht="21">
      <c r="A23" s="110" t="s">
        <v>404</v>
      </c>
      <c r="B23" s="111"/>
      <c r="C23" s="111"/>
      <c r="D23" s="111"/>
      <c r="E23" s="111"/>
      <c r="F23" s="111"/>
      <c r="G23" s="111"/>
      <c r="H23" s="111"/>
      <c r="I23" s="111"/>
      <c r="J23" s="111"/>
      <c r="K23" s="111"/>
      <c r="L23" s="111"/>
      <c r="M23" s="112"/>
    </row>
    <row r="24" spans="1:13" ht="21">
      <c r="A24" s="110" t="s">
        <v>536</v>
      </c>
      <c r="B24" s="111"/>
      <c r="C24" s="111"/>
      <c r="D24" s="111"/>
      <c r="E24" s="111"/>
      <c r="F24" s="111"/>
      <c r="G24" s="111"/>
      <c r="H24" s="111"/>
      <c r="I24" s="111"/>
      <c r="J24" s="111"/>
      <c r="K24" s="111"/>
      <c r="L24" s="111"/>
      <c r="M24" s="112"/>
    </row>
    <row r="25" spans="1:13" ht="21">
      <c r="A25" s="110" t="s">
        <v>406</v>
      </c>
      <c r="B25" s="111"/>
      <c r="C25" s="111"/>
      <c r="D25" s="111"/>
      <c r="E25" s="111"/>
      <c r="F25" s="111"/>
      <c r="G25" s="111"/>
      <c r="H25" s="111"/>
      <c r="I25" s="111"/>
      <c r="J25" s="111"/>
      <c r="K25" s="111"/>
      <c r="L25" s="111"/>
      <c r="M25" s="112"/>
    </row>
    <row r="26" spans="1:13" ht="21">
      <c r="A26" s="110" t="s">
        <v>405</v>
      </c>
      <c r="B26" s="111"/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2"/>
    </row>
    <row r="27" spans="1:13" ht="21">
      <c r="A27" s="110" t="s">
        <v>410</v>
      </c>
      <c r="B27" s="111"/>
      <c r="C27" s="111"/>
      <c r="D27" s="111"/>
      <c r="E27" s="111"/>
      <c r="F27" s="111"/>
      <c r="G27" s="111"/>
      <c r="H27" s="111"/>
      <c r="I27" s="111"/>
      <c r="J27" s="111"/>
      <c r="K27" s="111"/>
      <c r="L27" s="111"/>
      <c r="M27" s="112"/>
    </row>
    <row r="28" spans="1:13">
      <c r="A28" s="81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</row>
    <row r="29" spans="1:13" ht="21" customHeight="1">
      <c r="A29" s="109" t="s">
        <v>408</v>
      </c>
      <c r="B29" s="109"/>
      <c r="C29" s="109"/>
      <c r="D29" s="109"/>
      <c r="E29" s="106"/>
      <c r="F29" s="107"/>
      <c r="G29" s="107"/>
      <c r="H29" s="107"/>
      <c r="I29" s="107"/>
      <c r="J29" s="107"/>
      <c r="K29" s="107"/>
      <c r="L29" s="107"/>
      <c r="M29" s="108"/>
    </row>
    <row r="30" spans="1:13" ht="20.25" customHeight="1">
      <c r="A30" s="109" t="s">
        <v>409</v>
      </c>
      <c r="B30" s="109"/>
      <c r="C30" s="109"/>
      <c r="D30" s="109"/>
      <c r="E30" s="106"/>
      <c r="F30" s="107"/>
      <c r="G30" s="107"/>
      <c r="H30" s="107"/>
      <c r="I30" s="107"/>
      <c r="J30" s="107"/>
      <c r="K30" s="107"/>
      <c r="L30" s="107"/>
      <c r="M30" s="108"/>
    </row>
    <row r="31" spans="1:13">
      <c r="A31" s="81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</row>
    <row r="32" spans="1:13">
      <c r="A32" s="82" t="s">
        <v>407</v>
      </c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</row>
    <row r="33" spans="1:13">
      <c r="A33" s="81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</row>
    <row r="34" spans="1:13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</row>
  </sheetData>
  <mergeCells count="11">
    <mergeCell ref="A7:M7"/>
    <mergeCell ref="A25:M25"/>
    <mergeCell ref="A26:M26"/>
    <mergeCell ref="A27:M27"/>
    <mergeCell ref="A9:M22"/>
    <mergeCell ref="E30:M30"/>
    <mergeCell ref="E29:M29"/>
    <mergeCell ref="A29:D29"/>
    <mergeCell ref="A30:D30"/>
    <mergeCell ref="A23:M23"/>
    <mergeCell ref="A24:M24"/>
  </mergeCells>
  <hyperlinks>
    <hyperlink ref="A23" location="'Бытовые сплит-системы'!A1" display="Бытовый сплит-системы"/>
    <hyperlink ref="A23:J23" location="'Бытовые сплит-системы'!A1" display="БЫТОВЫЕ СПЛИТ-СИСТЕМЫ"/>
    <hyperlink ref="A27:M27" location="'МУЛЬТИЗОНАЛЬНЫЕ СИСТЕМЫ'!A1" display="&gt;&gt;&gt; МУЛЬТИЗОНАЛЬНЫЕ СИСТЕМЫ TOSOT MULTI VARIABLE 5-поколения"/>
    <hyperlink ref="A25:M25" location="'Мультисплит-системы'!A1" display="&gt;&gt;&gt; МУЛЬТИСПЛИТ-СИСТЕМЫ FREE MATCH/FREE MATCH SUPER"/>
    <hyperlink ref="A26:M26" location="'Полупромышленные сплит-системы'!A1" display="&gt;&gt;&gt; ПОЛУПРОМЫШЛЕННЫЕ СПЛИТ-СИСТЕМЫ"/>
    <hyperlink ref="A24" location="'Бытовые сплит-системы'!A1" display="Бытовый сплит-системы"/>
    <hyperlink ref="A24:J24" location="'Бытовые сплит-системы'!A1" display="БЫТОВЫЕ СПЛИТ-СИСТЕМЫ"/>
    <hyperlink ref="A24:M24" location="'RAC SALES'!R1C1" display="&gt;&gt;&gt; SALES БЫТОВЫЕ СПЛИТ-СИСТЕМЫ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71635"/>
    <pageSetUpPr fitToPage="1"/>
  </sheetPr>
  <dimension ref="A1:N55"/>
  <sheetViews>
    <sheetView zoomScale="80" zoomScaleNormal="80" workbookViewId="0">
      <pane ySplit="8" topLeftCell="A42" activePane="bottomLeft" state="frozen"/>
      <selection pane="bottomLeft" activeCell="G46" sqref="G46:G47"/>
    </sheetView>
  </sheetViews>
  <sheetFormatPr defaultRowHeight="15"/>
  <cols>
    <col min="1" max="1" width="35.85546875" style="1" customWidth="1"/>
    <col min="2" max="2" width="11.5703125" style="24" customWidth="1"/>
    <col min="3" max="3" width="14.7109375" style="1" customWidth="1"/>
    <col min="4" max="4" width="12.42578125" style="5" customWidth="1"/>
    <col min="5" max="6" width="12.140625" style="1" customWidth="1"/>
    <col min="7" max="9" width="10.42578125" style="5" customWidth="1"/>
    <col min="10" max="10" width="19" style="5" customWidth="1"/>
    <col min="11" max="11" width="20.5703125" style="5" customWidth="1"/>
    <col min="12" max="13" width="17" style="1" bestFit="1" customWidth="1"/>
    <col min="14" max="16384" width="9.140625" style="3"/>
  </cols>
  <sheetData>
    <row r="1" spans="1:14" ht="162" customHeight="1"/>
    <row r="2" spans="1:14" s="64" customFormat="1" ht="22.5" customHeight="1">
      <c r="A2" s="56" t="s">
        <v>189</v>
      </c>
      <c r="B2" s="69">
        <v>0</v>
      </c>
      <c r="C2" s="167" t="s">
        <v>365</v>
      </c>
      <c r="D2" s="167"/>
      <c r="E2" s="166">
        <f>SUM(K10:K13,K15:K22,K24:K31,K33:K42,K44:K53)</f>
        <v>0</v>
      </c>
      <c r="F2" s="166"/>
      <c r="G2" s="168" t="s">
        <v>366</v>
      </c>
      <c r="H2" s="168"/>
      <c r="I2" s="168"/>
      <c r="J2" s="71">
        <f>H10*(L10+L11)+H12*(L12+L13)+H15*(L15+L16)+H17*(L17+L18)+H19*(L19+L20)++H21*(L21+L22)+H24*(L24+L25)+H26*(L26+L27)+H28*(L28+L29)+H30*(L30+L31)+H33*(L33+L34)+H35*(L35+L36)+H37*(L37+L38)+H39*(L39+L40)+H41*(L41+L42)+H44*(L44+L45)+H46*(L46+L47)+H48*(L48+L49)+H50*(L50+L51)+H52*(L52+L53)</f>
        <v>0</v>
      </c>
      <c r="K2" s="168" t="s">
        <v>367</v>
      </c>
      <c r="L2" s="168"/>
      <c r="M2" s="71">
        <f>H10*(M10+M11)+H12*(M12+M13)+H15*(M15+M16)+H17*(M17+M18)+H19*(M19+M20)++H21*(M21+M22)+H24*(M24+M25)+H26*(M26+M27)+H28*(M28+M29)+H30*(M30+M31)+H33*(M33+M34)+H35*(M35+M36)+H37*(M37+M38)+H39*(M39+M40)+H41*(M41+M42)+H44*(M44+M45)+H46*(M46+M47)+H48*(M48+M49)+H50*(M50+M51)+H52*(M52+M53)</f>
        <v>0</v>
      </c>
      <c r="N2" s="68"/>
    </row>
    <row r="3" spans="1:14" s="64" customFormat="1" ht="12.75" customHeight="1">
      <c r="A3" s="57"/>
      <c r="B3" s="58"/>
      <c r="C3" s="57"/>
      <c r="D3" s="57"/>
      <c r="E3" s="59"/>
      <c r="F3" s="60"/>
      <c r="G3" s="60"/>
      <c r="H3" s="60"/>
      <c r="I3" s="60"/>
      <c r="J3" s="61"/>
      <c r="K3" s="60"/>
      <c r="L3" s="60"/>
      <c r="M3" s="61"/>
      <c r="N3" s="65"/>
    </row>
    <row r="4" spans="1:14" s="64" customFormat="1" ht="24" customHeight="1">
      <c r="A4" s="157" t="s">
        <v>368</v>
      </c>
      <c r="B4" s="158"/>
      <c r="C4" s="159"/>
      <c r="D4" s="62" t="s">
        <v>369</v>
      </c>
      <c r="E4" s="160"/>
      <c r="F4" s="160"/>
      <c r="G4" s="160"/>
      <c r="H4" s="160"/>
      <c r="I4" s="161"/>
      <c r="J4" s="164" t="s">
        <v>370</v>
      </c>
      <c r="K4" s="165"/>
      <c r="L4" s="165"/>
      <c r="M4" s="165"/>
      <c r="N4" s="66"/>
    </row>
    <row r="5" spans="1:14" s="64" customFormat="1" ht="21.75" customHeight="1">
      <c r="A5" s="63" t="s">
        <v>371</v>
      </c>
      <c r="B5" s="162"/>
      <c r="C5" s="163"/>
      <c r="D5" s="62" t="s">
        <v>372</v>
      </c>
      <c r="E5" s="160"/>
      <c r="F5" s="160"/>
      <c r="G5" s="160"/>
      <c r="H5" s="160"/>
      <c r="I5" s="161"/>
      <c r="J5" s="164" t="s">
        <v>373</v>
      </c>
      <c r="K5" s="165"/>
      <c r="L5" s="165"/>
      <c r="M5" s="165"/>
      <c r="N5" s="66"/>
    </row>
    <row r="6" spans="1:14" ht="18.75" customHeight="1">
      <c r="A6" s="116" t="s">
        <v>374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</row>
    <row r="7" spans="1:14" ht="24.75" customHeight="1">
      <c r="A7" s="117" t="s">
        <v>190</v>
      </c>
      <c r="B7" s="31" t="s">
        <v>204</v>
      </c>
      <c r="C7" s="119" t="s">
        <v>191</v>
      </c>
      <c r="D7" s="119"/>
      <c r="E7" s="119" t="s">
        <v>192</v>
      </c>
      <c r="F7" s="119"/>
      <c r="G7" s="119" t="s">
        <v>203</v>
      </c>
      <c r="H7" s="119" t="s">
        <v>193</v>
      </c>
      <c r="I7" s="119" t="s">
        <v>189</v>
      </c>
      <c r="J7" s="121" t="s">
        <v>194</v>
      </c>
      <c r="K7" s="119" t="s">
        <v>195</v>
      </c>
      <c r="L7" s="119" t="s">
        <v>196</v>
      </c>
      <c r="M7" s="119" t="s">
        <v>197</v>
      </c>
    </row>
    <row r="8" spans="1:14" s="67" customFormat="1" ht="15.75" thickBot="1">
      <c r="A8" s="118"/>
      <c r="B8" s="32" t="s">
        <v>198</v>
      </c>
      <c r="C8" s="33" t="s">
        <v>199</v>
      </c>
      <c r="D8" s="33" t="s">
        <v>200</v>
      </c>
      <c r="E8" s="33" t="s">
        <v>308</v>
      </c>
      <c r="F8" s="33" t="s">
        <v>309</v>
      </c>
      <c r="G8" s="120"/>
      <c r="H8" s="120"/>
      <c r="I8" s="120"/>
      <c r="J8" s="122"/>
      <c r="K8" s="120"/>
      <c r="L8" s="120"/>
      <c r="M8" s="120"/>
    </row>
    <row r="9" spans="1:14" ht="81" customHeight="1">
      <c r="A9" s="155" t="s">
        <v>219</v>
      </c>
      <c r="B9" s="156"/>
      <c r="C9" s="156"/>
      <c r="D9" s="136"/>
      <c r="E9" s="136"/>
      <c r="F9" s="136"/>
      <c r="G9" s="136"/>
      <c r="H9" s="136"/>
      <c r="I9" s="136"/>
      <c r="J9" s="136"/>
      <c r="K9" s="136"/>
      <c r="L9" s="136"/>
      <c r="M9" s="137"/>
    </row>
    <row r="10" spans="1:14" ht="15" customHeight="1">
      <c r="A10" s="153" t="s">
        <v>22</v>
      </c>
      <c r="B10" s="41" t="s">
        <v>353</v>
      </c>
      <c r="C10" s="154" t="s">
        <v>354</v>
      </c>
      <c r="D10" s="151" t="s">
        <v>355</v>
      </c>
      <c r="E10" s="149" t="s">
        <v>356</v>
      </c>
      <c r="F10" s="149" t="s">
        <v>357</v>
      </c>
      <c r="G10" s="130">
        <v>1582.482825</v>
      </c>
      <c r="H10" s="140">
        <v>0</v>
      </c>
      <c r="I10" s="141">
        <f t="shared" ref="I10:I12" si="0">$B$2</f>
        <v>0</v>
      </c>
      <c r="J10" s="143">
        <f t="shared" ref="J10" si="1">G10*(1-I10)</f>
        <v>1582.482825</v>
      </c>
      <c r="K10" s="123">
        <f t="shared" ref="K10" si="2">H10*J10</f>
        <v>0</v>
      </c>
      <c r="L10" s="72">
        <f>935*388*295/1000000000</f>
        <v>0.10702010000000001</v>
      </c>
      <c r="M10" s="73">
        <v>14</v>
      </c>
    </row>
    <row r="11" spans="1:14" ht="15" customHeight="1">
      <c r="A11" s="153"/>
      <c r="B11" s="41" t="s">
        <v>358</v>
      </c>
      <c r="C11" s="154"/>
      <c r="D11" s="152"/>
      <c r="E11" s="150"/>
      <c r="F11" s="150"/>
      <c r="G11" s="131"/>
      <c r="H11" s="133"/>
      <c r="I11" s="142"/>
      <c r="J11" s="144"/>
      <c r="K11" s="124"/>
      <c r="L11" s="72">
        <f>948*420*645/1000000000</f>
        <v>0.25681320000000002</v>
      </c>
      <c r="M11" s="73">
        <v>47.5</v>
      </c>
    </row>
    <row r="12" spans="1:14" ht="15" customHeight="1">
      <c r="A12" s="153" t="s">
        <v>23</v>
      </c>
      <c r="B12" s="41" t="s">
        <v>359</v>
      </c>
      <c r="C12" s="154" t="s">
        <v>360</v>
      </c>
      <c r="D12" s="151" t="s">
        <v>361</v>
      </c>
      <c r="E12" s="149" t="s">
        <v>362</v>
      </c>
      <c r="F12" s="149" t="s">
        <v>363</v>
      </c>
      <c r="G12" s="130">
        <v>1630.4368500000003</v>
      </c>
      <c r="H12" s="140">
        <v>0</v>
      </c>
      <c r="I12" s="141">
        <f t="shared" si="0"/>
        <v>0</v>
      </c>
      <c r="J12" s="143">
        <f t="shared" ref="J12" si="3">G12*(1-I12)</f>
        <v>1630.4368500000003</v>
      </c>
      <c r="K12" s="123">
        <f t="shared" ref="K12" si="4">H12*J12</f>
        <v>0</v>
      </c>
      <c r="L12" s="72">
        <f>935*388*295/1000000000</f>
        <v>0.10702010000000001</v>
      </c>
      <c r="M12" s="73">
        <v>14</v>
      </c>
    </row>
    <row r="13" spans="1:14" ht="15" customHeight="1">
      <c r="A13" s="153"/>
      <c r="B13" s="41" t="s">
        <v>364</v>
      </c>
      <c r="C13" s="154"/>
      <c r="D13" s="152"/>
      <c r="E13" s="150"/>
      <c r="F13" s="150"/>
      <c r="G13" s="131"/>
      <c r="H13" s="133"/>
      <c r="I13" s="142"/>
      <c r="J13" s="144"/>
      <c r="K13" s="124"/>
      <c r="L13" s="72">
        <f>948*420*645/1000000000</f>
        <v>0.25681320000000002</v>
      </c>
      <c r="M13" s="73">
        <v>47.5</v>
      </c>
    </row>
    <row r="14" spans="1:14" ht="70.5" customHeight="1">
      <c r="A14" s="147" t="s">
        <v>218</v>
      </c>
      <c r="B14" s="148"/>
      <c r="C14" s="148"/>
      <c r="D14" s="136"/>
      <c r="E14" s="136"/>
      <c r="F14" s="136"/>
      <c r="G14" s="136"/>
      <c r="H14" s="136"/>
      <c r="I14" s="136"/>
      <c r="J14" s="136"/>
      <c r="K14" s="136"/>
      <c r="L14" s="136"/>
      <c r="M14" s="137"/>
    </row>
    <row r="15" spans="1:14" ht="15" customHeight="1">
      <c r="A15" s="125" t="s">
        <v>14</v>
      </c>
      <c r="B15" s="41" t="s">
        <v>340</v>
      </c>
      <c r="C15" s="151" t="s">
        <v>341</v>
      </c>
      <c r="D15" s="151" t="s">
        <v>342</v>
      </c>
      <c r="E15" s="149" t="s">
        <v>343</v>
      </c>
      <c r="F15" s="149" t="s">
        <v>344</v>
      </c>
      <c r="G15" s="130">
        <v>853</v>
      </c>
      <c r="H15" s="140">
        <v>0</v>
      </c>
      <c r="I15" s="141">
        <f t="shared" ref="I15:I30" si="5">$B$2</f>
        <v>0</v>
      </c>
      <c r="J15" s="143">
        <f t="shared" ref="J15" si="6">G15*(1-I15)</f>
        <v>853</v>
      </c>
      <c r="K15" s="123">
        <f t="shared" ref="K15" si="7">H15*J15</f>
        <v>0</v>
      </c>
      <c r="L15" s="72">
        <f>896*320*159/1000000000</f>
        <v>4.5588480000000001E-2</v>
      </c>
      <c r="M15" s="73">
        <v>14.5</v>
      </c>
    </row>
    <row r="16" spans="1:14" ht="15" customHeight="1">
      <c r="A16" s="126"/>
      <c r="B16" s="41" t="s">
        <v>345</v>
      </c>
      <c r="C16" s="152"/>
      <c r="D16" s="152"/>
      <c r="E16" s="150"/>
      <c r="F16" s="150"/>
      <c r="G16" s="131"/>
      <c r="H16" s="133"/>
      <c r="I16" s="142"/>
      <c r="J16" s="144"/>
      <c r="K16" s="124"/>
      <c r="L16" s="72">
        <f>776*540*320/1000000000</f>
        <v>0.13409280000000001</v>
      </c>
      <c r="M16" s="73">
        <v>33</v>
      </c>
    </row>
    <row r="17" spans="1:13" ht="15" customHeight="1">
      <c r="A17" s="125" t="s">
        <v>13</v>
      </c>
      <c r="B17" s="41" t="s">
        <v>346</v>
      </c>
      <c r="C17" s="151" t="s">
        <v>341</v>
      </c>
      <c r="D17" s="151" t="s">
        <v>342</v>
      </c>
      <c r="E17" s="149" t="s">
        <v>343</v>
      </c>
      <c r="F17" s="149" t="s">
        <v>344</v>
      </c>
      <c r="G17" s="130">
        <v>853</v>
      </c>
      <c r="H17" s="140">
        <v>0</v>
      </c>
      <c r="I17" s="141">
        <f t="shared" si="5"/>
        <v>0</v>
      </c>
      <c r="J17" s="143">
        <f t="shared" ref="J17" si="8">G17*(1-I17)</f>
        <v>853</v>
      </c>
      <c r="K17" s="123">
        <f t="shared" ref="K17" si="9">H17*J17</f>
        <v>0</v>
      </c>
      <c r="L17" s="72">
        <f>896*320*159/1000000000</f>
        <v>4.5588480000000001E-2</v>
      </c>
      <c r="M17" s="73">
        <v>14.5</v>
      </c>
    </row>
    <row r="18" spans="1:13" ht="15" customHeight="1">
      <c r="A18" s="126"/>
      <c r="B18" s="41" t="s">
        <v>345</v>
      </c>
      <c r="C18" s="152"/>
      <c r="D18" s="152"/>
      <c r="E18" s="150"/>
      <c r="F18" s="150"/>
      <c r="G18" s="131"/>
      <c r="H18" s="133"/>
      <c r="I18" s="142"/>
      <c r="J18" s="144"/>
      <c r="K18" s="124"/>
      <c r="L18" s="72">
        <f>776*540*320/1000000000</f>
        <v>0.13409280000000001</v>
      </c>
      <c r="M18" s="73">
        <v>33</v>
      </c>
    </row>
    <row r="19" spans="1:13" ht="15" customHeight="1">
      <c r="A19" s="125" t="s">
        <v>12</v>
      </c>
      <c r="B19" s="41" t="s">
        <v>347</v>
      </c>
      <c r="C19" s="151" t="s">
        <v>348</v>
      </c>
      <c r="D19" s="151" t="s">
        <v>349</v>
      </c>
      <c r="E19" s="149" t="s">
        <v>311</v>
      </c>
      <c r="F19" s="149" t="s">
        <v>311</v>
      </c>
      <c r="G19" s="130">
        <v>964.72215000000017</v>
      </c>
      <c r="H19" s="140">
        <v>0</v>
      </c>
      <c r="I19" s="141">
        <f t="shared" si="5"/>
        <v>0</v>
      </c>
      <c r="J19" s="143">
        <f t="shared" ref="J19" si="10">G19*(1-I19)</f>
        <v>964.72215000000017</v>
      </c>
      <c r="K19" s="123">
        <f t="shared" ref="K19" si="11">H19*J19</f>
        <v>0</v>
      </c>
      <c r="L19" s="72">
        <f>896*320*159/1000000000</f>
        <v>4.5588480000000001E-2</v>
      </c>
      <c r="M19" s="73">
        <v>14.5</v>
      </c>
    </row>
    <row r="20" spans="1:13" ht="15" customHeight="1">
      <c r="A20" s="126"/>
      <c r="B20" s="41" t="s">
        <v>350</v>
      </c>
      <c r="C20" s="152"/>
      <c r="D20" s="152"/>
      <c r="E20" s="150"/>
      <c r="F20" s="150"/>
      <c r="G20" s="131"/>
      <c r="H20" s="133"/>
      <c r="I20" s="142"/>
      <c r="J20" s="144"/>
      <c r="K20" s="124"/>
      <c r="L20" s="72">
        <f>848*540*320/1000000000</f>
        <v>0.14653440000000001</v>
      </c>
      <c r="M20" s="73">
        <v>43</v>
      </c>
    </row>
    <row r="21" spans="1:13" ht="15" customHeight="1">
      <c r="A21" s="153" t="s">
        <v>11</v>
      </c>
      <c r="B21" s="41" t="s">
        <v>351</v>
      </c>
      <c r="C21" s="154" t="s">
        <v>348</v>
      </c>
      <c r="D21" s="151" t="s">
        <v>349</v>
      </c>
      <c r="E21" s="149" t="s">
        <v>311</v>
      </c>
      <c r="F21" s="149" t="s">
        <v>311</v>
      </c>
      <c r="G21" s="130">
        <v>964.72215000000017</v>
      </c>
      <c r="H21" s="140">
        <v>0</v>
      </c>
      <c r="I21" s="141">
        <f t="shared" si="5"/>
        <v>0</v>
      </c>
      <c r="J21" s="143">
        <f t="shared" ref="J21" si="12">G21*(1-I21)</f>
        <v>964.72215000000017</v>
      </c>
      <c r="K21" s="123">
        <f t="shared" ref="K21" si="13">H21*J21</f>
        <v>0</v>
      </c>
      <c r="L21" s="72">
        <f>896*320*159/1000000000</f>
        <v>4.5588480000000001E-2</v>
      </c>
      <c r="M21" s="73">
        <v>14.5</v>
      </c>
    </row>
    <row r="22" spans="1:13" ht="15" customHeight="1">
      <c r="A22" s="153"/>
      <c r="B22" s="41" t="s">
        <v>352</v>
      </c>
      <c r="C22" s="154"/>
      <c r="D22" s="152"/>
      <c r="E22" s="150"/>
      <c r="F22" s="150"/>
      <c r="G22" s="131"/>
      <c r="H22" s="133"/>
      <c r="I22" s="142"/>
      <c r="J22" s="144"/>
      <c r="K22" s="124"/>
      <c r="L22" s="72">
        <f>848*540*320/1000000000</f>
        <v>0.14653440000000001</v>
      </c>
      <c r="M22" s="73">
        <v>43</v>
      </c>
    </row>
    <row r="23" spans="1:13" ht="59.25" customHeight="1">
      <c r="A23" s="147" t="s">
        <v>217</v>
      </c>
      <c r="B23" s="148"/>
      <c r="C23" s="148"/>
      <c r="D23" s="136"/>
      <c r="E23" s="136"/>
      <c r="F23" s="136"/>
      <c r="G23" s="136"/>
      <c r="H23" s="136"/>
      <c r="I23" s="136"/>
      <c r="J23" s="136"/>
      <c r="K23" s="136"/>
      <c r="L23" s="136"/>
      <c r="M23" s="137"/>
    </row>
    <row r="24" spans="1:13" ht="15" customHeight="1">
      <c r="A24" s="125" t="s">
        <v>18</v>
      </c>
      <c r="B24" s="41" t="s">
        <v>322</v>
      </c>
      <c r="C24" s="151" t="s">
        <v>323</v>
      </c>
      <c r="D24" s="151" t="s">
        <v>324</v>
      </c>
      <c r="E24" s="149" t="s">
        <v>325</v>
      </c>
      <c r="F24" s="149" t="s">
        <v>326</v>
      </c>
      <c r="G24" s="130">
        <v>676.99800000000005</v>
      </c>
      <c r="H24" s="140">
        <v>0</v>
      </c>
      <c r="I24" s="141">
        <f t="shared" si="5"/>
        <v>0</v>
      </c>
      <c r="J24" s="143">
        <f t="shared" ref="J24" si="14">G24*(1-I24)</f>
        <v>676.99800000000005</v>
      </c>
      <c r="K24" s="123">
        <f t="shared" ref="K24" si="15">H24*J24</f>
        <v>0</v>
      </c>
      <c r="L24" s="72">
        <f>926*267*371/1000000000</f>
        <v>9.1726782000000007E-2</v>
      </c>
      <c r="M24" s="73">
        <v>11.5</v>
      </c>
    </row>
    <row r="25" spans="1:13" ht="15" customHeight="1">
      <c r="A25" s="126"/>
      <c r="B25" s="41" t="s">
        <v>327</v>
      </c>
      <c r="C25" s="152"/>
      <c r="D25" s="152"/>
      <c r="E25" s="150"/>
      <c r="F25" s="150"/>
      <c r="G25" s="131"/>
      <c r="H25" s="133"/>
      <c r="I25" s="142"/>
      <c r="J25" s="144"/>
      <c r="K25" s="124"/>
      <c r="L25" s="72">
        <f>851*363*595/1000000000</f>
        <v>0.18380323500000001</v>
      </c>
      <c r="M25" s="73">
        <v>31</v>
      </c>
    </row>
    <row r="26" spans="1:13" ht="15" customHeight="1">
      <c r="A26" s="125" t="s">
        <v>19</v>
      </c>
      <c r="B26" s="41" t="s">
        <v>328</v>
      </c>
      <c r="C26" s="151" t="s">
        <v>329</v>
      </c>
      <c r="D26" s="151" t="s">
        <v>330</v>
      </c>
      <c r="E26" s="149" t="s">
        <v>325</v>
      </c>
      <c r="F26" s="149" t="s">
        <v>326</v>
      </c>
      <c r="G26" s="130">
        <v>750.33945000000006</v>
      </c>
      <c r="H26" s="140">
        <v>0</v>
      </c>
      <c r="I26" s="141">
        <f t="shared" si="5"/>
        <v>0</v>
      </c>
      <c r="J26" s="143">
        <f t="shared" ref="J26" si="16">G26*(1-I26)</f>
        <v>750.33945000000006</v>
      </c>
      <c r="K26" s="123">
        <f t="shared" ref="K26" si="17">H26*J26</f>
        <v>0</v>
      </c>
      <c r="L26" s="72">
        <f>926*267*371/1000000000</f>
        <v>9.1726782000000007E-2</v>
      </c>
      <c r="M26" s="73">
        <v>11.5</v>
      </c>
    </row>
    <row r="27" spans="1:13" ht="15" customHeight="1">
      <c r="A27" s="126"/>
      <c r="B27" s="41" t="s">
        <v>331</v>
      </c>
      <c r="C27" s="152"/>
      <c r="D27" s="152"/>
      <c r="E27" s="150"/>
      <c r="F27" s="150"/>
      <c r="G27" s="131"/>
      <c r="H27" s="133"/>
      <c r="I27" s="142"/>
      <c r="J27" s="144"/>
      <c r="K27" s="124"/>
      <c r="L27" s="72">
        <f>851*363*595/1000000000</f>
        <v>0.18380323500000001</v>
      </c>
      <c r="M27" s="73">
        <v>32</v>
      </c>
    </row>
    <row r="28" spans="1:13" ht="15" customHeight="1">
      <c r="A28" s="125" t="s">
        <v>20</v>
      </c>
      <c r="B28" s="41" t="s">
        <v>332</v>
      </c>
      <c r="C28" s="151" t="s">
        <v>333</v>
      </c>
      <c r="D28" s="151" t="s">
        <v>334</v>
      </c>
      <c r="E28" s="149" t="s">
        <v>325</v>
      </c>
      <c r="F28" s="149" t="s">
        <v>326</v>
      </c>
      <c r="G28" s="130">
        <v>1101</v>
      </c>
      <c r="H28" s="140">
        <v>0</v>
      </c>
      <c r="I28" s="141">
        <f t="shared" si="5"/>
        <v>0</v>
      </c>
      <c r="J28" s="143">
        <f t="shared" ref="J28" si="18">G28*(1-I28)</f>
        <v>1101</v>
      </c>
      <c r="K28" s="123">
        <f t="shared" ref="K28" si="19">H28*J28</f>
        <v>0</v>
      </c>
      <c r="L28" s="72">
        <f>1013*383*300/1000000000</f>
        <v>0.1163937</v>
      </c>
      <c r="M28" s="73">
        <v>15</v>
      </c>
    </row>
    <row r="29" spans="1:13" ht="15" customHeight="1">
      <c r="A29" s="126"/>
      <c r="B29" s="41" t="s">
        <v>335</v>
      </c>
      <c r="C29" s="152"/>
      <c r="D29" s="152"/>
      <c r="E29" s="150"/>
      <c r="F29" s="150"/>
      <c r="G29" s="131"/>
      <c r="H29" s="133"/>
      <c r="I29" s="142"/>
      <c r="J29" s="144"/>
      <c r="K29" s="124"/>
      <c r="L29" s="72">
        <f>1029*458*750/1000000000</f>
        <v>0.35346149999999998</v>
      </c>
      <c r="M29" s="73">
        <v>49.5</v>
      </c>
    </row>
    <row r="30" spans="1:13" ht="15" customHeight="1">
      <c r="A30" s="153" t="s">
        <v>21</v>
      </c>
      <c r="B30" s="41" t="s">
        <v>336</v>
      </c>
      <c r="C30" s="154" t="s">
        <v>337</v>
      </c>
      <c r="D30" s="151" t="s">
        <v>338</v>
      </c>
      <c r="E30" s="149" t="s">
        <v>325</v>
      </c>
      <c r="F30" s="149" t="s">
        <v>326</v>
      </c>
      <c r="G30" s="130">
        <v>1300.4003250000001</v>
      </c>
      <c r="H30" s="140">
        <v>0</v>
      </c>
      <c r="I30" s="141">
        <f t="shared" si="5"/>
        <v>0</v>
      </c>
      <c r="J30" s="143">
        <f t="shared" ref="J30" si="20">G30*(1-I30)</f>
        <v>1300.4003250000001</v>
      </c>
      <c r="K30" s="123">
        <f t="shared" ref="K30" si="21">H30*J30</f>
        <v>0</v>
      </c>
      <c r="L30" s="72">
        <f>1086*398*328/1000000000</f>
        <v>0.14177078400000001</v>
      </c>
      <c r="M30" s="73">
        <v>18.5</v>
      </c>
    </row>
    <row r="31" spans="1:13" ht="15" customHeight="1">
      <c r="A31" s="153"/>
      <c r="B31" s="41" t="s">
        <v>339</v>
      </c>
      <c r="C31" s="154"/>
      <c r="D31" s="152"/>
      <c r="E31" s="150"/>
      <c r="F31" s="150"/>
      <c r="G31" s="131"/>
      <c r="H31" s="133"/>
      <c r="I31" s="142"/>
      <c r="J31" s="144"/>
      <c r="K31" s="124"/>
      <c r="L31" s="72">
        <f>1083*488*855/1000000000</f>
        <v>0.45187092000000001</v>
      </c>
      <c r="M31" s="73">
        <v>60</v>
      </c>
    </row>
    <row r="32" spans="1:13" ht="60" customHeight="1">
      <c r="A32" s="147" t="s">
        <v>216</v>
      </c>
      <c r="B32" s="148"/>
      <c r="C32" s="148"/>
      <c r="D32" s="136"/>
      <c r="E32" s="136"/>
      <c r="F32" s="136"/>
      <c r="G32" s="136"/>
      <c r="H32" s="136"/>
      <c r="I32" s="136"/>
      <c r="J32" s="136"/>
      <c r="K32" s="136"/>
      <c r="L32" s="136"/>
      <c r="M32" s="137"/>
    </row>
    <row r="33" spans="1:13" ht="15" customHeight="1">
      <c r="A33" s="125" t="s">
        <v>9</v>
      </c>
      <c r="B33" s="41" t="s">
        <v>312</v>
      </c>
      <c r="C33" s="127">
        <v>2.2999999999999998</v>
      </c>
      <c r="D33" s="127">
        <v>2.5</v>
      </c>
      <c r="E33" s="129" t="s">
        <v>310</v>
      </c>
      <c r="F33" s="129" t="s">
        <v>311</v>
      </c>
      <c r="G33" s="130">
        <v>468.25695000000007</v>
      </c>
      <c r="H33" s="140">
        <v>0</v>
      </c>
      <c r="I33" s="141">
        <f t="shared" ref="I33:I52" si="22">$B$2</f>
        <v>0</v>
      </c>
      <c r="J33" s="143">
        <f t="shared" ref="J33" si="23">G33*(1-I33)</f>
        <v>468.25695000000007</v>
      </c>
      <c r="K33" s="123">
        <f t="shared" ref="K33" si="24">H33*J33</f>
        <v>0</v>
      </c>
      <c r="L33" s="72">
        <f>873*258*365/1000000000</f>
        <v>8.2210409999999998E-2</v>
      </c>
      <c r="M33" s="73">
        <v>10</v>
      </c>
    </row>
    <row r="34" spans="1:13" ht="15" customHeight="1">
      <c r="A34" s="126"/>
      <c r="B34" s="41" t="s">
        <v>313</v>
      </c>
      <c r="C34" s="128"/>
      <c r="D34" s="128"/>
      <c r="E34" s="128"/>
      <c r="F34" s="128"/>
      <c r="G34" s="131"/>
      <c r="H34" s="133"/>
      <c r="I34" s="142"/>
      <c r="J34" s="144"/>
      <c r="K34" s="124"/>
      <c r="L34" s="72">
        <f>823*358*595/1000000000</f>
        <v>0.17530723000000001</v>
      </c>
      <c r="M34" s="73">
        <v>30.5</v>
      </c>
    </row>
    <row r="35" spans="1:13" ht="15" customHeight="1">
      <c r="A35" s="125" t="s">
        <v>16</v>
      </c>
      <c r="B35" s="41" t="s">
        <v>314</v>
      </c>
      <c r="C35" s="127">
        <v>2.6</v>
      </c>
      <c r="D35" s="127">
        <v>2.8</v>
      </c>
      <c r="E35" s="129" t="s">
        <v>310</v>
      </c>
      <c r="F35" s="129" t="s">
        <v>311</v>
      </c>
      <c r="G35" s="130">
        <v>501</v>
      </c>
      <c r="H35" s="140">
        <v>0</v>
      </c>
      <c r="I35" s="141">
        <f t="shared" si="22"/>
        <v>0</v>
      </c>
      <c r="J35" s="143">
        <f t="shared" ref="J35" si="25">G35*(1-I35)</f>
        <v>501</v>
      </c>
      <c r="K35" s="123">
        <f t="shared" ref="K35" si="26">H35*J35</f>
        <v>0</v>
      </c>
      <c r="L35" s="72">
        <f>873*258*365/1000000000</f>
        <v>8.2210409999999998E-2</v>
      </c>
      <c r="M35" s="73">
        <v>12</v>
      </c>
    </row>
    <row r="36" spans="1:13" ht="15" customHeight="1">
      <c r="A36" s="126"/>
      <c r="B36" s="41" t="s">
        <v>315</v>
      </c>
      <c r="C36" s="128"/>
      <c r="D36" s="128"/>
      <c r="E36" s="128"/>
      <c r="F36" s="128"/>
      <c r="G36" s="131"/>
      <c r="H36" s="133"/>
      <c r="I36" s="142"/>
      <c r="J36" s="144"/>
      <c r="K36" s="124"/>
      <c r="L36" s="72">
        <f>881*363*595/1000000000</f>
        <v>0.19028278500000001</v>
      </c>
      <c r="M36" s="73">
        <v>30</v>
      </c>
    </row>
    <row r="37" spans="1:13" ht="15" customHeight="1">
      <c r="A37" s="125" t="s">
        <v>15</v>
      </c>
      <c r="B37" s="41" t="s">
        <v>316</v>
      </c>
      <c r="C37" s="127">
        <v>3.5</v>
      </c>
      <c r="D37" s="127">
        <v>3.85</v>
      </c>
      <c r="E37" s="127">
        <v>3.26</v>
      </c>
      <c r="F37" s="127">
        <v>3.62</v>
      </c>
      <c r="G37" s="130">
        <v>564</v>
      </c>
      <c r="H37" s="140">
        <v>0</v>
      </c>
      <c r="I37" s="141">
        <f t="shared" si="22"/>
        <v>0</v>
      </c>
      <c r="J37" s="143">
        <f t="shared" ref="J37" si="27">G37*(1-I37)</f>
        <v>564</v>
      </c>
      <c r="K37" s="123">
        <f t="shared" ref="K37" si="28">H37*J37</f>
        <v>0</v>
      </c>
      <c r="L37" s="72">
        <f>918*258*370/1000000000</f>
        <v>8.7632280000000007E-2</v>
      </c>
      <c r="M37" s="73">
        <v>13</v>
      </c>
    </row>
    <row r="38" spans="1:13" ht="15" customHeight="1">
      <c r="A38" s="126"/>
      <c r="B38" s="41" t="s">
        <v>317</v>
      </c>
      <c r="C38" s="128"/>
      <c r="D38" s="128"/>
      <c r="E38" s="128"/>
      <c r="F38" s="128"/>
      <c r="G38" s="131"/>
      <c r="H38" s="133"/>
      <c r="I38" s="142"/>
      <c r="J38" s="144"/>
      <c r="K38" s="124"/>
      <c r="L38" s="72">
        <f>881*363*605/1000000000</f>
        <v>0.193480815</v>
      </c>
      <c r="M38" s="73">
        <v>38</v>
      </c>
    </row>
    <row r="39" spans="1:13">
      <c r="A39" s="125" t="s">
        <v>8</v>
      </c>
      <c r="B39" s="41" t="s">
        <v>318</v>
      </c>
      <c r="C39" s="127">
        <v>5.4</v>
      </c>
      <c r="D39" s="127">
        <v>5.9</v>
      </c>
      <c r="E39" s="127">
        <v>3.41</v>
      </c>
      <c r="F39" s="127">
        <v>3.61</v>
      </c>
      <c r="G39" s="130">
        <v>788</v>
      </c>
      <c r="H39" s="140">
        <v>0</v>
      </c>
      <c r="I39" s="141">
        <f t="shared" si="22"/>
        <v>0</v>
      </c>
      <c r="J39" s="143">
        <f t="shared" ref="J39" si="29">G39*(1-I39)</f>
        <v>788</v>
      </c>
      <c r="K39" s="123">
        <f t="shared" ref="K39" si="30">H39*J39</f>
        <v>0</v>
      </c>
      <c r="L39" s="72">
        <f>1013*383*300/1000000000</f>
        <v>0.1163937</v>
      </c>
      <c r="M39" s="73">
        <v>17</v>
      </c>
    </row>
    <row r="40" spans="1:13">
      <c r="A40" s="126"/>
      <c r="B40" s="41" t="s">
        <v>319</v>
      </c>
      <c r="C40" s="128"/>
      <c r="D40" s="128"/>
      <c r="E40" s="128"/>
      <c r="F40" s="128"/>
      <c r="G40" s="131"/>
      <c r="H40" s="133"/>
      <c r="I40" s="142"/>
      <c r="J40" s="144"/>
      <c r="K40" s="124"/>
      <c r="L40" s="72">
        <f>997*431*740/1000000000</f>
        <v>0.31798317999999998</v>
      </c>
      <c r="M40" s="73">
        <v>52</v>
      </c>
    </row>
    <row r="41" spans="1:13" ht="15" customHeight="1">
      <c r="A41" s="125" t="s">
        <v>7</v>
      </c>
      <c r="B41" s="41" t="s">
        <v>320</v>
      </c>
      <c r="C41" s="127">
        <v>6.6</v>
      </c>
      <c r="D41" s="127">
        <v>7.55</v>
      </c>
      <c r="E41" s="127">
        <v>3.21</v>
      </c>
      <c r="F41" s="127">
        <v>3.41</v>
      </c>
      <c r="G41" s="130">
        <v>1022</v>
      </c>
      <c r="H41" s="140">
        <v>0</v>
      </c>
      <c r="I41" s="141">
        <f t="shared" si="22"/>
        <v>0</v>
      </c>
      <c r="J41" s="143">
        <f t="shared" ref="J41" si="31">G41*(1-I41)</f>
        <v>1022</v>
      </c>
      <c r="K41" s="123">
        <f t="shared" ref="K41" si="32">H41*J41</f>
        <v>0</v>
      </c>
      <c r="L41" s="72">
        <f>1086*398*328/1000000000</f>
        <v>0.14177078400000001</v>
      </c>
      <c r="M41" s="73">
        <v>20.5</v>
      </c>
    </row>
    <row r="42" spans="1:13" ht="15" customHeight="1">
      <c r="A42" s="126"/>
      <c r="B42" s="41" t="s">
        <v>321</v>
      </c>
      <c r="C42" s="128"/>
      <c r="D42" s="128"/>
      <c r="E42" s="128"/>
      <c r="F42" s="128"/>
      <c r="G42" s="131"/>
      <c r="H42" s="133"/>
      <c r="I42" s="142"/>
      <c r="J42" s="144"/>
      <c r="K42" s="124"/>
      <c r="L42" s="72">
        <f>1029*458*750/1000000000</f>
        <v>0.35346149999999998</v>
      </c>
      <c r="M42" s="73">
        <v>62</v>
      </c>
    </row>
    <row r="43" spans="1:13" ht="60.75" customHeight="1">
      <c r="A43" s="134" t="s">
        <v>215</v>
      </c>
      <c r="B43" s="135"/>
      <c r="C43" s="135"/>
      <c r="D43" s="136"/>
      <c r="E43" s="136"/>
      <c r="F43" s="136"/>
      <c r="G43" s="136"/>
      <c r="H43" s="136"/>
      <c r="I43" s="136"/>
      <c r="J43" s="136"/>
      <c r="K43" s="136"/>
      <c r="L43" s="136"/>
      <c r="M43" s="137"/>
    </row>
    <row r="44" spans="1:13" ht="15" customHeight="1">
      <c r="A44" s="138" t="s">
        <v>4</v>
      </c>
      <c r="B44" s="34" t="s">
        <v>205</v>
      </c>
      <c r="C44" s="129">
        <v>2.25</v>
      </c>
      <c r="D44" s="129">
        <v>2.2999999999999998</v>
      </c>
      <c r="E44" s="129" t="s">
        <v>310</v>
      </c>
      <c r="F44" s="129" t="s">
        <v>311</v>
      </c>
      <c r="G44" s="139">
        <v>368</v>
      </c>
      <c r="H44" s="140">
        <v>0</v>
      </c>
      <c r="I44" s="141">
        <f>$B$2</f>
        <v>0</v>
      </c>
      <c r="J44" s="143">
        <f>G44*(1-I44)</f>
        <v>368</v>
      </c>
      <c r="K44" s="123">
        <f>H44*J44</f>
        <v>0</v>
      </c>
      <c r="L44" s="72">
        <f>787*314*253/1000000000</f>
        <v>6.2520854000000001E-2</v>
      </c>
      <c r="M44" s="73">
        <v>9.5</v>
      </c>
    </row>
    <row r="45" spans="1:13" ht="15" customHeight="1">
      <c r="A45" s="126"/>
      <c r="B45" s="41" t="s">
        <v>206</v>
      </c>
      <c r="C45" s="128"/>
      <c r="D45" s="128"/>
      <c r="E45" s="128"/>
      <c r="F45" s="128"/>
      <c r="G45" s="131"/>
      <c r="H45" s="133"/>
      <c r="I45" s="142"/>
      <c r="J45" s="144"/>
      <c r="K45" s="124"/>
      <c r="L45" s="72">
        <f>768*353*490/1000000000</f>
        <v>0.13284096000000001</v>
      </c>
      <c r="M45" s="73">
        <v>24.5</v>
      </c>
    </row>
    <row r="46" spans="1:13" ht="15" customHeight="1">
      <c r="A46" s="125" t="s">
        <v>5</v>
      </c>
      <c r="B46" s="41" t="s">
        <v>207</v>
      </c>
      <c r="C46" s="127">
        <v>2.63</v>
      </c>
      <c r="D46" s="127">
        <v>2.82</v>
      </c>
      <c r="E46" s="129" t="s">
        <v>310</v>
      </c>
      <c r="F46" s="129" t="s">
        <v>311</v>
      </c>
      <c r="G46" s="130">
        <v>400.55715000000004</v>
      </c>
      <c r="H46" s="132">
        <v>0</v>
      </c>
      <c r="I46" s="141">
        <f t="shared" ref="I46" si="33">$B$2</f>
        <v>0</v>
      </c>
      <c r="J46" s="145">
        <f t="shared" ref="J46" si="34">G46*(1-I46)</f>
        <v>400.55715000000004</v>
      </c>
      <c r="K46" s="146">
        <f t="shared" ref="K46" si="35">H46*J46</f>
        <v>0</v>
      </c>
      <c r="L46" s="72">
        <f>852*330*258/1000000000</f>
        <v>7.2539279999999998E-2</v>
      </c>
      <c r="M46" s="73">
        <v>9.5</v>
      </c>
    </row>
    <row r="47" spans="1:13" ht="15" customHeight="1">
      <c r="A47" s="126"/>
      <c r="B47" s="41" t="s">
        <v>208</v>
      </c>
      <c r="C47" s="128"/>
      <c r="D47" s="128"/>
      <c r="E47" s="128"/>
      <c r="F47" s="128"/>
      <c r="G47" s="131"/>
      <c r="H47" s="133"/>
      <c r="I47" s="142"/>
      <c r="J47" s="144"/>
      <c r="K47" s="124"/>
      <c r="L47" s="72">
        <f>768*353*490/1000000000</f>
        <v>0.13284096000000001</v>
      </c>
      <c r="M47" s="73">
        <v>28</v>
      </c>
    </row>
    <row r="48" spans="1:13" ht="15" customHeight="1">
      <c r="A48" s="125" t="s">
        <v>6</v>
      </c>
      <c r="B48" s="41" t="s">
        <v>209</v>
      </c>
      <c r="C48" s="127">
        <v>3.22</v>
      </c>
      <c r="D48" s="127">
        <v>3.51</v>
      </c>
      <c r="E48" s="129" t="s">
        <v>310</v>
      </c>
      <c r="F48" s="129" t="s">
        <v>311</v>
      </c>
      <c r="G48" s="130">
        <v>456.97365000000008</v>
      </c>
      <c r="H48" s="132">
        <v>0</v>
      </c>
      <c r="I48" s="141">
        <f t="shared" ref="I48" si="36">$B$2</f>
        <v>0</v>
      </c>
      <c r="J48" s="145">
        <f t="shared" ref="J48" si="37">G48*(1-I48)</f>
        <v>456.97365000000008</v>
      </c>
      <c r="K48" s="146">
        <f t="shared" ref="K48" si="38">H48*J48</f>
        <v>0</v>
      </c>
      <c r="L48" s="72">
        <f>918*258*370/1000000000</f>
        <v>8.7632280000000007E-2</v>
      </c>
      <c r="M48" s="73">
        <v>11</v>
      </c>
    </row>
    <row r="49" spans="1:13" ht="15" customHeight="1">
      <c r="A49" s="126"/>
      <c r="B49" s="41" t="s">
        <v>210</v>
      </c>
      <c r="C49" s="128"/>
      <c r="D49" s="128"/>
      <c r="E49" s="128"/>
      <c r="F49" s="128"/>
      <c r="G49" s="131"/>
      <c r="H49" s="133"/>
      <c r="I49" s="142"/>
      <c r="J49" s="144"/>
      <c r="K49" s="124"/>
      <c r="L49" s="72">
        <f>823*358*595/1000000000</f>
        <v>0.17530723000000001</v>
      </c>
      <c r="M49" s="73">
        <v>31.5</v>
      </c>
    </row>
    <row r="50" spans="1:13">
      <c r="A50" s="125" t="s">
        <v>10</v>
      </c>
      <c r="B50" s="41" t="s">
        <v>211</v>
      </c>
      <c r="C50" s="127">
        <v>4.7</v>
      </c>
      <c r="D50" s="127">
        <v>4.9000000000000004</v>
      </c>
      <c r="E50" s="127">
        <v>3.22</v>
      </c>
      <c r="F50" s="127">
        <v>3.43</v>
      </c>
      <c r="G50" s="130">
        <v>705.20625000000007</v>
      </c>
      <c r="H50" s="132">
        <v>0</v>
      </c>
      <c r="I50" s="141">
        <f t="shared" ref="I50" si="39">$B$2</f>
        <v>0</v>
      </c>
      <c r="J50" s="145">
        <f t="shared" ref="J50" si="40">G50*(1-I50)</f>
        <v>705.20625000000007</v>
      </c>
      <c r="K50" s="146">
        <f t="shared" ref="K50" si="41">H50*J50</f>
        <v>0</v>
      </c>
      <c r="L50" s="72">
        <f>1013*383*300/1000000000</f>
        <v>0.1163937</v>
      </c>
      <c r="M50" s="73">
        <v>17</v>
      </c>
    </row>
    <row r="51" spans="1:13">
      <c r="A51" s="126"/>
      <c r="B51" s="41" t="s">
        <v>212</v>
      </c>
      <c r="C51" s="128"/>
      <c r="D51" s="128"/>
      <c r="E51" s="128"/>
      <c r="F51" s="128"/>
      <c r="G51" s="131"/>
      <c r="H51" s="133"/>
      <c r="I51" s="142"/>
      <c r="J51" s="144"/>
      <c r="K51" s="124"/>
      <c r="L51" s="72">
        <f>881*363*595/1000000000</f>
        <v>0.19028278500000001</v>
      </c>
      <c r="M51" s="73">
        <v>44</v>
      </c>
    </row>
    <row r="52" spans="1:13">
      <c r="A52" s="125" t="s">
        <v>17</v>
      </c>
      <c r="B52" s="41" t="s">
        <v>213</v>
      </c>
      <c r="C52" s="127">
        <v>6.15</v>
      </c>
      <c r="D52" s="127">
        <v>6.5</v>
      </c>
      <c r="E52" s="127">
        <v>3.24</v>
      </c>
      <c r="F52" s="127">
        <v>3.42</v>
      </c>
      <c r="G52" s="130">
        <v>911.12647500000003</v>
      </c>
      <c r="H52" s="132">
        <v>0</v>
      </c>
      <c r="I52" s="141">
        <f t="shared" si="22"/>
        <v>0</v>
      </c>
      <c r="J52" s="145">
        <f t="shared" ref="J52" si="42">G52*(1-I52)</f>
        <v>911.12647500000003</v>
      </c>
      <c r="K52" s="146">
        <f t="shared" ref="K52" si="43">H52*J52</f>
        <v>0</v>
      </c>
      <c r="L52" s="72">
        <f>1013*383*300/1000000000</f>
        <v>0.1163937</v>
      </c>
      <c r="M52" s="73">
        <v>17</v>
      </c>
    </row>
    <row r="53" spans="1:13">
      <c r="A53" s="126"/>
      <c r="B53" s="41" t="s">
        <v>214</v>
      </c>
      <c r="C53" s="128"/>
      <c r="D53" s="128"/>
      <c r="E53" s="128"/>
      <c r="F53" s="128"/>
      <c r="G53" s="131"/>
      <c r="H53" s="133"/>
      <c r="I53" s="142"/>
      <c r="J53" s="144"/>
      <c r="K53" s="124"/>
      <c r="L53" s="72">
        <f>997*728*443/1000000000</f>
        <v>0.32153648800000001</v>
      </c>
      <c r="M53" s="73">
        <v>50</v>
      </c>
    </row>
    <row r="54" spans="1:13" ht="15" customHeight="1">
      <c r="E54" s="6"/>
      <c r="F54" s="6"/>
    </row>
    <row r="55" spans="1:13" ht="15.75" customHeight="1">
      <c r="L55" s="4"/>
    </row>
  </sheetData>
  <mergeCells count="231">
    <mergeCell ref="A4:C4"/>
    <mergeCell ref="E4:I4"/>
    <mergeCell ref="B5:C5"/>
    <mergeCell ref="E5:I5"/>
    <mergeCell ref="J4:M4"/>
    <mergeCell ref="J5:M5"/>
    <mergeCell ref="E2:F2"/>
    <mergeCell ref="H12:H13"/>
    <mergeCell ref="I12:I13"/>
    <mergeCell ref="J12:J13"/>
    <mergeCell ref="K12:K13"/>
    <mergeCell ref="C2:D2"/>
    <mergeCell ref="K2:L2"/>
    <mergeCell ref="G2:I2"/>
    <mergeCell ref="H10:H11"/>
    <mergeCell ref="I10:I11"/>
    <mergeCell ref="J10:J11"/>
    <mergeCell ref="K10:K11"/>
    <mergeCell ref="A12:A13"/>
    <mergeCell ref="C12:C13"/>
    <mergeCell ref="D12:D13"/>
    <mergeCell ref="E12:E13"/>
    <mergeCell ref="F12:F13"/>
    <mergeCell ref="G12:G13"/>
    <mergeCell ref="A10:A11"/>
    <mergeCell ref="C10:C11"/>
    <mergeCell ref="D10:D11"/>
    <mergeCell ref="E10:E11"/>
    <mergeCell ref="F10:F11"/>
    <mergeCell ref="G10:G11"/>
    <mergeCell ref="H21:H22"/>
    <mergeCell ref="I21:I22"/>
    <mergeCell ref="J21:J22"/>
    <mergeCell ref="I15:I16"/>
    <mergeCell ref="J15:J16"/>
    <mergeCell ref="K21:K22"/>
    <mergeCell ref="A9:C9"/>
    <mergeCell ref="D9:M9"/>
    <mergeCell ref="H19:H20"/>
    <mergeCell ref="I19:I20"/>
    <mergeCell ref="J19:J20"/>
    <mergeCell ref="K19:K20"/>
    <mergeCell ref="A21:A22"/>
    <mergeCell ref="C21:C22"/>
    <mergeCell ref="D21:D22"/>
    <mergeCell ref="E21:E22"/>
    <mergeCell ref="F21:F22"/>
    <mergeCell ref="G21:G22"/>
    <mergeCell ref="H17:H18"/>
    <mergeCell ref="I17:I18"/>
    <mergeCell ref="J17:J18"/>
    <mergeCell ref="K17:K18"/>
    <mergeCell ref="A19:A20"/>
    <mergeCell ref="C19:C20"/>
    <mergeCell ref="D19:D20"/>
    <mergeCell ref="E19:E20"/>
    <mergeCell ref="F19:F20"/>
    <mergeCell ref="G19:G20"/>
    <mergeCell ref="H15:H16"/>
    <mergeCell ref="K15:K16"/>
    <mergeCell ref="A17:A18"/>
    <mergeCell ref="C17:C18"/>
    <mergeCell ref="D17:D18"/>
    <mergeCell ref="E17:E18"/>
    <mergeCell ref="F17:F18"/>
    <mergeCell ref="G17:G18"/>
    <mergeCell ref="A15:A16"/>
    <mergeCell ref="C15:C16"/>
    <mergeCell ref="D15:D16"/>
    <mergeCell ref="E15:E16"/>
    <mergeCell ref="F15:F16"/>
    <mergeCell ref="G15:G16"/>
    <mergeCell ref="H30:H31"/>
    <mergeCell ref="I30:I31"/>
    <mergeCell ref="J30:J31"/>
    <mergeCell ref="K30:K31"/>
    <mergeCell ref="A14:C14"/>
    <mergeCell ref="D14:M14"/>
    <mergeCell ref="H28:H29"/>
    <mergeCell ref="I28:I29"/>
    <mergeCell ref="J28:J29"/>
    <mergeCell ref="K28:K29"/>
    <mergeCell ref="A30:A31"/>
    <mergeCell ref="C30:C31"/>
    <mergeCell ref="D30:D31"/>
    <mergeCell ref="E30:E31"/>
    <mergeCell ref="F30:F31"/>
    <mergeCell ref="G30:G31"/>
    <mergeCell ref="H26:H27"/>
    <mergeCell ref="I26:I27"/>
    <mergeCell ref="J26:J27"/>
    <mergeCell ref="K26:K27"/>
    <mergeCell ref="A28:A29"/>
    <mergeCell ref="C28:C29"/>
    <mergeCell ref="D28:D29"/>
    <mergeCell ref="E28:E29"/>
    <mergeCell ref="K24:K25"/>
    <mergeCell ref="A26:A27"/>
    <mergeCell ref="C26:C27"/>
    <mergeCell ref="D26:D27"/>
    <mergeCell ref="E26:E27"/>
    <mergeCell ref="F26:F27"/>
    <mergeCell ref="G26:G27"/>
    <mergeCell ref="A24:A25"/>
    <mergeCell ref="C24:C25"/>
    <mergeCell ref="D24:D25"/>
    <mergeCell ref="E24:E25"/>
    <mergeCell ref="F24:F25"/>
    <mergeCell ref="G24:G25"/>
    <mergeCell ref="A23:C23"/>
    <mergeCell ref="D23:M23"/>
    <mergeCell ref="G39:G40"/>
    <mergeCell ref="H39:H40"/>
    <mergeCell ref="I39:I40"/>
    <mergeCell ref="J39:J40"/>
    <mergeCell ref="K39:K40"/>
    <mergeCell ref="A41:A42"/>
    <mergeCell ref="C41:C42"/>
    <mergeCell ref="D41:D42"/>
    <mergeCell ref="E41:E42"/>
    <mergeCell ref="F41:F42"/>
    <mergeCell ref="G37:G38"/>
    <mergeCell ref="H37:H38"/>
    <mergeCell ref="I37:I38"/>
    <mergeCell ref="J37:J38"/>
    <mergeCell ref="K37:K38"/>
    <mergeCell ref="A39:A40"/>
    <mergeCell ref="C39:C40"/>
    <mergeCell ref="F28:F29"/>
    <mergeCell ref="G28:G29"/>
    <mergeCell ref="H24:H25"/>
    <mergeCell ref="I24:I25"/>
    <mergeCell ref="J24:J25"/>
    <mergeCell ref="I35:I36"/>
    <mergeCell ref="J35:J36"/>
    <mergeCell ref="K35:K36"/>
    <mergeCell ref="A37:A38"/>
    <mergeCell ref="C37:C38"/>
    <mergeCell ref="D37:D38"/>
    <mergeCell ref="E37:E38"/>
    <mergeCell ref="F37:F38"/>
    <mergeCell ref="G41:G42"/>
    <mergeCell ref="H41:H42"/>
    <mergeCell ref="I41:I42"/>
    <mergeCell ref="J41:J42"/>
    <mergeCell ref="K41:K42"/>
    <mergeCell ref="C35:C36"/>
    <mergeCell ref="D35:D36"/>
    <mergeCell ref="E35:E36"/>
    <mergeCell ref="F35:F36"/>
    <mergeCell ref="D39:D40"/>
    <mergeCell ref="E39:E40"/>
    <mergeCell ref="F39:F40"/>
    <mergeCell ref="G35:G36"/>
    <mergeCell ref="H35:H36"/>
    <mergeCell ref="I52:I53"/>
    <mergeCell ref="J52:J53"/>
    <mergeCell ref="K52:K53"/>
    <mergeCell ref="A32:C32"/>
    <mergeCell ref="D32:M32"/>
    <mergeCell ref="A33:A34"/>
    <mergeCell ref="C33:C34"/>
    <mergeCell ref="D33:D34"/>
    <mergeCell ref="E33:E34"/>
    <mergeCell ref="F33:F34"/>
    <mergeCell ref="I50:I51"/>
    <mergeCell ref="J50:J51"/>
    <mergeCell ref="K50:K51"/>
    <mergeCell ref="A52:A53"/>
    <mergeCell ref="C52:C53"/>
    <mergeCell ref="D52:D53"/>
    <mergeCell ref="E52:E53"/>
    <mergeCell ref="F52:F53"/>
    <mergeCell ref="G52:G53"/>
    <mergeCell ref="H52:H53"/>
    <mergeCell ref="I48:I49"/>
    <mergeCell ref="J48:J49"/>
    <mergeCell ref="K48:K49"/>
    <mergeCell ref="A50:A51"/>
    <mergeCell ref="C50:C51"/>
    <mergeCell ref="D50:D51"/>
    <mergeCell ref="E50:E51"/>
    <mergeCell ref="F50:F51"/>
    <mergeCell ref="G50:G51"/>
    <mergeCell ref="H50:H51"/>
    <mergeCell ref="I46:I47"/>
    <mergeCell ref="J46:J47"/>
    <mergeCell ref="K46:K47"/>
    <mergeCell ref="A48:A49"/>
    <mergeCell ref="C48:C49"/>
    <mergeCell ref="D48:D49"/>
    <mergeCell ref="E48:E49"/>
    <mergeCell ref="F48:F49"/>
    <mergeCell ref="G48:G49"/>
    <mergeCell ref="H48:H49"/>
    <mergeCell ref="I44:I45"/>
    <mergeCell ref="J44:J45"/>
    <mergeCell ref="K44:K45"/>
    <mergeCell ref="A46:A47"/>
    <mergeCell ref="C46:C47"/>
    <mergeCell ref="D46:D47"/>
    <mergeCell ref="E46:E47"/>
    <mergeCell ref="F46:F47"/>
    <mergeCell ref="G46:G47"/>
    <mergeCell ref="H46:H47"/>
    <mergeCell ref="M7:M8"/>
    <mergeCell ref="A43:C43"/>
    <mergeCell ref="D43:M43"/>
    <mergeCell ref="A44:A45"/>
    <mergeCell ref="C44:C45"/>
    <mergeCell ref="D44:D45"/>
    <mergeCell ref="E44:E45"/>
    <mergeCell ref="F44:F45"/>
    <mergeCell ref="G44:G45"/>
    <mergeCell ref="H44:H45"/>
    <mergeCell ref="G33:G34"/>
    <mergeCell ref="H33:H34"/>
    <mergeCell ref="I33:I34"/>
    <mergeCell ref="J33:J34"/>
    <mergeCell ref="K33:K34"/>
    <mergeCell ref="A35:A36"/>
    <mergeCell ref="A6:M6"/>
    <mergeCell ref="A7:A8"/>
    <mergeCell ref="C7:D7"/>
    <mergeCell ref="E7:F7"/>
    <mergeCell ref="G7:G8"/>
    <mergeCell ref="H7:H8"/>
    <mergeCell ref="I7:I8"/>
    <mergeCell ref="J7:J8"/>
    <mergeCell ref="K7:K8"/>
    <mergeCell ref="L7:L8"/>
  </mergeCells>
  <pageMargins left="0.39370078740157483" right="0.39370078740157483" top="0.39370078740157483" bottom="0.39370078740157483" header="0.31496062992125984" footer="0.31496062992125984"/>
  <pageSetup paperSize="8" scale="3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71635"/>
    <pageSetUpPr fitToPage="1"/>
  </sheetPr>
  <dimension ref="A1:M43"/>
  <sheetViews>
    <sheetView tabSelected="1" zoomScale="80" zoomScaleNormal="80" workbookViewId="0">
      <pane ySplit="8" topLeftCell="A9" activePane="bottomLeft" state="frozen"/>
      <selection pane="bottomLeft" activeCell="O16" sqref="O16"/>
    </sheetView>
  </sheetViews>
  <sheetFormatPr defaultRowHeight="15"/>
  <cols>
    <col min="1" max="1" width="35.85546875" style="1" customWidth="1"/>
    <col min="2" max="2" width="11.5703125" style="24" customWidth="1"/>
    <col min="3" max="3" width="14.7109375" style="1" customWidth="1"/>
    <col min="4" max="4" width="12.42578125" style="5" customWidth="1"/>
    <col min="5" max="6" width="12.140625" style="1" customWidth="1"/>
    <col min="7" max="9" width="10.42578125" style="5" customWidth="1"/>
    <col min="10" max="10" width="19" style="5" customWidth="1"/>
    <col min="11" max="11" width="20.5703125" style="5" customWidth="1"/>
    <col min="12" max="13" width="17" style="1" bestFit="1" customWidth="1"/>
    <col min="14" max="16384" width="9.140625" style="3"/>
  </cols>
  <sheetData>
    <row r="1" spans="1:13" ht="162" customHeight="1"/>
    <row r="2" spans="1:13" s="64" customFormat="1" ht="22.5" customHeight="1">
      <c r="A2" s="56" t="s">
        <v>189</v>
      </c>
      <c r="B2" s="69">
        <v>0</v>
      </c>
      <c r="C2" s="167" t="s">
        <v>365</v>
      </c>
      <c r="D2" s="167"/>
      <c r="E2" s="166">
        <f>SUM(K10:K17,K19:K30,K32:K41)</f>
        <v>0</v>
      </c>
      <c r="F2" s="166"/>
      <c r="G2" s="168" t="s">
        <v>366</v>
      </c>
      <c r="H2" s="168"/>
      <c r="I2" s="168"/>
      <c r="J2" s="71">
        <v>0</v>
      </c>
      <c r="K2" s="168" t="s">
        <v>367</v>
      </c>
      <c r="L2" s="168"/>
      <c r="M2" s="71">
        <v>0</v>
      </c>
    </row>
    <row r="3" spans="1:13" s="64" customFormat="1" ht="12.75" customHeight="1">
      <c r="A3" s="57"/>
      <c r="B3" s="58"/>
      <c r="C3" s="57"/>
      <c r="D3" s="57"/>
      <c r="E3" s="59"/>
      <c r="F3" s="60"/>
      <c r="G3" s="60"/>
      <c r="H3" s="60"/>
      <c r="I3" s="60"/>
      <c r="J3" s="61"/>
      <c r="K3" s="60"/>
      <c r="L3" s="60"/>
      <c r="M3" s="61"/>
    </row>
    <row r="4" spans="1:13" s="64" customFormat="1" ht="24" customHeight="1">
      <c r="A4" s="157" t="s">
        <v>368</v>
      </c>
      <c r="B4" s="158"/>
      <c r="C4" s="159"/>
      <c r="D4" s="62" t="s">
        <v>369</v>
      </c>
      <c r="E4" s="160"/>
      <c r="F4" s="160"/>
      <c r="G4" s="160"/>
      <c r="H4" s="160"/>
      <c r="I4" s="161"/>
      <c r="J4" s="164" t="s">
        <v>370</v>
      </c>
      <c r="K4" s="165"/>
      <c r="L4" s="165"/>
      <c r="M4" s="165"/>
    </row>
    <row r="5" spans="1:13" s="64" customFormat="1" ht="21.75" customHeight="1">
      <c r="A5" s="63" t="s">
        <v>371</v>
      </c>
      <c r="B5" s="162"/>
      <c r="C5" s="163"/>
      <c r="D5" s="62" t="s">
        <v>372</v>
      </c>
      <c r="E5" s="160"/>
      <c r="F5" s="160"/>
      <c r="G5" s="160"/>
      <c r="H5" s="160"/>
      <c r="I5" s="161"/>
      <c r="J5" s="164" t="s">
        <v>373</v>
      </c>
      <c r="K5" s="165"/>
      <c r="L5" s="165"/>
      <c r="M5" s="165"/>
    </row>
    <row r="6" spans="1:13" ht="18.75" customHeight="1">
      <c r="A6" s="116" t="s">
        <v>374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</row>
    <row r="7" spans="1:13" ht="24.75" customHeight="1">
      <c r="A7" s="117" t="s">
        <v>190</v>
      </c>
      <c r="B7" s="97" t="s">
        <v>204</v>
      </c>
      <c r="C7" s="119" t="s">
        <v>191</v>
      </c>
      <c r="D7" s="119"/>
      <c r="E7" s="119" t="s">
        <v>192</v>
      </c>
      <c r="F7" s="119"/>
      <c r="G7" s="119" t="s">
        <v>203</v>
      </c>
      <c r="H7" s="119" t="s">
        <v>193</v>
      </c>
      <c r="I7" s="119" t="s">
        <v>189</v>
      </c>
      <c r="J7" s="121" t="s">
        <v>194</v>
      </c>
      <c r="K7" s="119" t="s">
        <v>195</v>
      </c>
      <c r="L7" s="119" t="s">
        <v>196</v>
      </c>
      <c r="M7" s="119" t="s">
        <v>197</v>
      </c>
    </row>
    <row r="8" spans="1:13" s="67" customFormat="1">
      <c r="A8" s="118"/>
      <c r="B8" s="98" t="s">
        <v>198</v>
      </c>
      <c r="C8" s="99" t="s">
        <v>199</v>
      </c>
      <c r="D8" s="99" t="s">
        <v>200</v>
      </c>
      <c r="E8" s="99" t="s">
        <v>308</v>
      </c>
      <c r="F8" s="99" t="s">
        <v>309</v>
      </c>
      <c r="G8" s="120"/>
      <c r="H8" s="120"/>
      <c r="I8" s="120"/>
      <c r="J8" s="122"/>
      <c r="K8" s="120"/>
      <c r="L8" s="120"/>
      <c r="M8" s="120"/>
    </row>
    <row r="9" spans="1:13" ht="70.5" customHeight="1">
      <c r="A9" s="147" t="s">
        <v>523</v>
      </c>
      <c r="B9" s="148"/>
      <c r="C9" s="148"/>
      <c r="D9" s="136"/>
      <c r="E9" s="136"/>
      <c r="F9" s="136"/>
      <c r="G9" s="136"/>
      <c r="H9" s="136"/>
      <c r="I9" s="136"/>
      <c r="J9" s="136"/>
      <c r="K9" s="136"/>
      <c r="L9" s="136"/>
      <c r="M9" s="137"/>
    </row>
    <row r="10" spans="1:13" ht="15" customHeight="1">
      <c r="A10" s="125" t="s">
        <v>524</v>
      </c>
      <c r="B10" s="102" t="s">
        <v>525</v>
      </c>
      <c r="C10" s="151" t="s">
        <v>341</v>
      </c>
      <c r="D10" s="151" t="s">
        <v>342</v>
      </c>
      <c r="E10" s="149"/>
      <c r="F10" s="149"/>
      <c r="G10" s="171">
        <v>24021.889473684205</v>
      </c>
      <c r="H10" s="140">
        <v>0</v>
      </c>
      <c r="I10" s="141">
        <f t="shared" ref="I10:I28" si="0">$B$2</f>
        <v>0</v>
      </c>
      <c r="J10" s="175">
        <f t="shared" ref="J10" si="1">G10*(1-I10)</f>
        <v>24021.889473684205</v>
      </c>
      <c r="K10" s="176">
        <f t="shared" ref="K10" si="2">H10*J10</f>
        <v>0</v>
      </c>
      <c r="L10" s="72"/>
      <c r="M10" s="73"/>
    </row>
    <row r="11" spans="1:13" ht="15" customHeight="1">
      <c r="A11" s="126"/>
      <c r="B11" s="102" t="s">
        <v>526</v>
      </c>
      <c r="C11" s="152"/>
      <c r="D11" s="152"/>
      <c r="E11" s="150"/>
      <c r="F11" s="150"/>
      <c r="G11" s="172"/>
      <c r="H11" s="133"/>
      <c r="I11" s="142"/>
      <c r="J11" s="174"/>
      <c r="K11" s="170"/>
      <c r="L11" s="72"/>
      <c r="M11" s="73"/>
    </row>
    <row r="12" spans="1:13" ht="15" customHeight="1">
      <c r="A12" s="125" t="s">
        <v>527</v>
      </c>
      <c r="B12" s="102" t="s">
        <v>528</v>
      </c>
      <c r="C12" s="151" t="s">
        <v>341</v>
      </c>
      <c r="D12" s="151" t="s">
        <v>342</v>
      </c>
      <c r="E12" s="149"/>
      <c r="F12" s="149"/>
      <c r="G12" s="171">
        <v>26693.424561403506</v>
      </c>
      <c r="H12" s="140">
        <v>0</v>
      </c>
      <c r="I12" s="141">
        <f t="shared" si="0"/>
        <v>0</v>
      </c>
      <c r="J12" s="175">
        <f t="shared" ref="J12" si="3">G12*(1-I12)</f>
        <v>26693.424561403506</v>
      </c>
      <c r="K12" s="176">
        <f t="shared" ref="K12" si="4">H12*J12</f>
        <v>0</v>
      </c>
      <c r="L12" s="72"/>
      <c r="M12" s="73"/>
    </row>
    <row r="13" spans="1:13" ht="15" customHeight="1">
      <c r="A13" s="126"/>
      <c r="B13" s="102" t="s">
        <v>529</v>
      </c>
      <c r="C13" s="152"/>
      <c r="D13" s="152"/>
      <c r="E13" s="150"/>
      <c r="F13" s="150"/>
      <c r="G13" s="172"/>
      <c r="H13" s="133"/>
      <c r="I13" s="142"/>
      <c r="J13" s="174"/>
      <c r="K13" s="170"/>
      <c r="L13" s="72"/>
      <c r="M13" s="73"/>
    </row>
    <row r="14" spans="1:13" ht="15" customHeight="1">
      <c r="A14" s="125" t="s">
        <v>530</v>
      </c>
      <c r="B14" s="102" t="s">
        <v>531</v>
      </c>
      <c r="C14" s="151" t="s">
        <v>348</v>
      </c>
      <c r="D14" s="151" t="s">
        <v>349</v>
      </c>
      <c r="E14" s="149"/>
      <c r="F14" s="149"/>
      <c r="G14" s="171">
        <v>38432.926315789467</v>
      </c>
      <c r="H14" s="140">
        <v>0</v>
      </c>
      <c r="I14" s="141">
        <f t="shared" si="0"/>
        <v>0</v>
      </c>
      <c r="J14" s="175">
        <f t="shared" ref="J14" si="5">G14*(1-I14)</f>
        <v>38432.926315789467</v>
      </c>
      <c r="K14" s="176">
        <f t="shared" ref="K14" si="6">H14*J14</f>
        <v>0</v>
      </c>
      <c r="L14" s="72"/>
      <c r="M14" s="73"/>
    </row>
    <row r="15" spans="1:13" ht="15" customHeight="1">
      <c r="A15" s="126"/>
      <c r="B15" s="102" t="s">
        <v>532</v>
      </c>
      <c r="C15" s="152"/>
      <c r="D15" s="152"/>
      <c r="E15" s="150"/>
      <c r="F15" s="150"/>
      <c r="G15" s="172"/>
      <c r="H15" s="133"/>
      <c r="I15" s="142"/>
      <c r="J15" s="174"/>
      <c r="K15" s="170"/>
      <c r="L15" s="72"/>
      <c r="M15" s="73"/>
    </row>
    <row r="16" spans="1:13" ht="15" customHeight="1">
      <c r="A16" s="153" t="s">
        <v>533</v>
      </c>
      <c r="B16" s="102" t="s">
        <v>534</v>
      </c>
      <c r="C16" s="154" t="s">
        <v>348</v>
      </c>
      <c r="D16" s="151" t="s">
        <v>349</v>
      </c>
      <c r="E16" s="149"/>
      <c r="F16" s="149"/>
      <c r="G16" s="171">
        <v>45475</v>
      </c>
      <c r="H16" s="140">
        <v>0</v>
      </c>
      <c r="I16" s="141">
        <f t="shared" si="0"/>
        <v>0</v>
      </c>
      <c r="J16" s="175">
        <f t="shared" ref="J16" si="7">G16*(1-I16)</f>
        <v>45475</v>
      </c>
      <c r="K16" s="176">
        <f t="shared" ref="K16" si="8">H16*J16</f>
        <v>0</v>
      </c>
      <c r="L16" s="72"/>
      <c r="M16" s="73"/>
    </row>
    <row r="17" spans="1:13" ht="15" customHeight="1">
      <c r="A17" s="153"/>
      <c r="B17" s="102" t="s">
        <v>535</v>
      </c>
      <c r="C17" s="154"/>
      <c r="D17" s="152"/>
      <c r="E17" s="150"/>
      <c r="F17" s="150"/>
      <c r="G17" s="172"/>
      <c r="H17" s="133"/>
      <c r="I17" s="142"/>
      <c r="J17" s="174"/>
      <c r="K17" s="170"/>
      <c r="L17" s="72"/>
      <c r="M17" s="73"/>
    </row>
    <row r="18" spans="1:13" ht="59.25" customHeight="1">
      <c r="A18" s="147" t="s">
        <v>520</v>
      </c>
      <c r="B18" s="148"/>
      <c r="C18" s="148"/>
      <c r="D18" s="136"/>
      <c r="E18" s="136"/>
      <c r="F18" s="136"/>
      <c r="G18" s="136"/>
      <c r="H18" s="136"/>
      <c r="I18" s="136"/>
      <c r="J18" s="136"/>
      <c r="K18" s="136"/>
      <c r="L18" s="136"/>
      <c r="M18" s="137"/>
    </row>
    <row r="19" spans="1:13" ht="15" customHeight="1">
      <c r="A19" s="125" t="s">
        <v>507</v>
      </c>
      <c r="B19" s="102" t="s">
        <v>512</v>
      </c>
      <c r="C19" s="151" t="s">
        <v>323</v>
      </c>
      <c r="D19" s="151" t="s">
        <v>324</v>
      </c>
      <c r="E19" s="149"/>
      <c r="F19" s="149"/>
      <c r="G19" s="184">
        <v>27003.35578947368</v>
      </c>
      <c r="H19" s="180">
        <v>0</v>
      </c>
      <c r="I19" s="181">
        <f t="shared" si="0"/>
        <v>0</v>
      </c>
      <c r="J19" s="182">
        <f t="shared" ref="J19" si="9">G19*(1-I19)</f>
        <v>27003.35578947368</v>
      </c>
      <c r="K19" s="183">
        <f t="shared" ref="K19" si="10">H19*J19</f>
        <v>0</v>
      </c>
      <c r="L19" s="72"/>
      <c r="M19" s="73"/>
    </row>
    <row r="20" spans="1:13" ht="15" customHeight="1">
      <c r="A20" s="126"/>
      <c r="B20" s="102" t="s">
        <v>513</v>
      </c>
      <c r="C20" s="178"/>
      <c r="D20" s="178"/>
      <c r="E20" s="179"/>
      <c r="F20" s="179"/>
      <c r="G20" s="184"/>
      <c r="H20" s="180"/>
      <c r="I20" s="181"/>
      <c r="J20" s="182"/>
      <c r="K20" s="183"/>
      <c r="L20" s="72"/>
      <c r="M20" s="73"/>
    </row>
    <row r="21" spans="1:13" ht="15" customHeight="1">
      <c r="A21" s="185" t="s">
        <v>507</v>
      </c>
      <c r="B21" s="186"/>
      <c r="C21" s="152"/>
      <c r="D21" s="152"/>
      <c r="E21" s="150"/>
      <c r="F21" s="150"/>
      <c r="G21" s="103">
        <v>43312.436363636356</v>
      </c>
      <c r="H21" s="50">
        <v>0</v>
      </c>
      <c r="I21" s="101">
        <f>B2</f>
        <v>0</v>
      </c>
      <c r="J21" s="104">
        <f>G21*(1-I21)</f>
        <v>43312.436363636356</v>
      </c>
      <c r="K21" s="105">
        <f>J21*H21</f>
        <v>0</v>
      </c>
      <c r="L21" s="72"/>
      <c r="M21" s="73"/>
    </row>
    <row r="22" spans="1:13" ht="15" customHeight="1">
      <c r="A22" s="125" t="s">
        <v>508</v>
      </c>
      <c r="B22" s="102" t="s">
        <v>514</v>
      </c>
      <c r="C22" s="151" t="s">
        <v>329</v>
      </c>
      <c r="D22" s="151" t="s">
        <v>521</v>
      </c>
      <c r="E22" s="149"/>
      <c r="F22" s="149"/>
      <c r="G22" s="184">
        <v>29251.858793324769</v>
      </c>
      <c r="H22" s="180">
        <v>0</v>
      </c>
      <c r="I22" s="181">
        <f t="shared" si="0"/>
        <v>0</v>
      </c>
      <c r="J22" s="182">
        <f t="shared" ref="J22:J28" si="11">G22*(1-I22)</f>
        <v>29251.858793324769</v>
      </c>
      <c r="K22" s="183">
        <f t="shared" ref="K22:K28" si="12">H22*J22</f>
        <v>0</v>
      </c>
      <c r="L22" s="72"/>
      <c r="M22" s="73"/>
    </row>
    <row r="23" spans="1:13" ht="15" customHeight="1">
      <c r="A23" s="126"/>
      <c r="B23" s="102" t="s">
        <v>515</v>
      </c>
      <c r="C23" s="178"/>
      <c r="D23" s="178"/>
      <c r="E23" s="179"/>
      <c r="F23" s="179"/>
      <c r="G23" s="184"/>
      <c r="H23" s="180"/>
      <c r="I23" s="181"/>
      <c r="J23" s="182"/>
      <c r="K23" s="183"/>
      <c r="L23" s="72"/>
      <c r="M23" s="73"/>
    </row>
    <row r="24" spans="1:13" ht="15" customHeight="1">
      <c r="A24" s="185" t="s">
        <v>508</v>
      </c>
      <c r="B24" s="186"/>
      <c r="C24" s="152"/>
      <c r="D24" s="152"/>
      <c r="E24" s="150"/>
      <c r="F24" s="150"/>
      <c r="G24" s="103">
        <v>47389.831578947364</v>
      </c>
      <c r="H24" s="50">
        <v>0</v>
      </c>
      <c r="I24" s="101">
        <f>B5</f>
        <v>0</v>
      </c>
      <c r="J24" s="104">
        <f>G24*(1-I24)</f>
        <v>47389.831578947364</v>
      </c>
      <c r="K24" s="105">
        <f t="shared" ref="K24" si="13">J24*H24</f>
        <v>0</v>
      </c>
      <c r="L24" s="72"/>
      <c r="M24" s="73"/>
    </row>
    <row r="25" spans="1:13" ht="15" customHeight="1">
      <c r="A25" s="125" t="s">
        <v>509</v>
      </c>
      <c r="B25" s="102" t="s">
        <v>516</v>
      </c>
      <c r="C25" s="151" t="s">
        <v>333</v>
      </c>
      <c r="D25" s="151" t="s">
        <v>522</v>
      </c>
      <c r="E25" s="149"/>
      <c r="F25" s="149"/>
      <c r="G25" s="184">
        <v>43604.505263157887</v>
      </c>
      <c r="H25" s="180">
        <v>0</v>
      </c>
      <c r="I25" s="181">
        <f t="shared" si="0"/>
        <v>0</v>
      </c>
      <c r="J25" s="182">
        <f t="shared" si="11"/>
        <v>43604.505263157887</v>
      </c>
      <c r="K25" s="183">
        <f t="shared" si="12"/>
        <v>0</v>
      </c>
      <c r="L25" s="72"/>
      <c r="M25" s="73"/>
    </row>
    <row r="26" spans="1:13" ht="15" customHeight="1">
      <c r="A26" s="126"/>
      <c r="B26" s="102" t="s">
        <v>517</v>
      </c>
      <c r="C26" s="178"/>
      <c r="D26" s="178"/>
      <c r="E26" s="179"/>
      <c r="F26" s="179"/>
      <c r="G26" s="184"/>
      <c r="H26" s="180"/>
      <c r="I26" s="181"/>
      <c r="J26" s="182"/>
      <c r="K26" s="183"/>
      <c r="L26" s="72"/>
      <c r="M26" s="73"/>
    </row>
    <row r="27" spans="1:13" ht="15" customHeight="1">
      <c r="A27" s="185" t="s">
        <v>509</v>
      </c>
      <c r="B27" s="186"/>
      <c r="C27" s="152"/>
      <c r="D27" s="152"/>
      <c r="E27" s="150"/>
      <c r="F27" s="150"/>
      <c r="G27" s="103">
        <v>70893.515789473677</v>
      </c>
      <c r="H27" s="50">
        <v>0</v>
      </c>
      <c r="I27" s="101">
        <v>0</v>
      </c>
      <c r="J27" s="104">
        <f t="shared" ref="J27" si="14">G27*(1-I27)</f>
        <v>70893.515789473677</v>
      </c>
      <c r="K27" s="105">
        <f t="shared" ref="K27" si="15">J27*H27</f>
        <v>0</v>
      </c>
      <c r="L27" s="72"/>
      <c r="M27" s="73"/>
    </row>
    <row r="28" spans="1:13" ht="15" customHeight="1">
      <c r="A28" s="153" t="s">
        <v>510</v>
      </c>
      <c r="B28" s="102" t="s">
        <v>518</v>
      </c>
      <c r="C28" s="151" t="s">
        <v>337</v>
      </c>
      <c r="D28" s="151" t="s">
        <v>338</v>
      </c>
      <c r="E28" s="149"/>
      <c r="F28" s="149"/>
      <c r="G28" s="184">
        <v>49759.085386762352</v>
      </c>
      <c r="H28" s="180">
        <v>0</v>
      </c>
      <c r="I28" s="181">
        <f t="shared" si="0"/>
        <v>0</v>
      </c>
      <c r="J28" s="182">
        <f t="shared" si="11"/>
        <v>49759.085386762352</v>
      </c>
      <c r="K28" s="183">
        <f t="shared" si="12"/>
        <v>0</v>
      </c>
      <c r="L28" s="72"/>
      <c r="M28" s="73"/>
    </row>
    <row r="29" spans="1:13" ht="15" customHeight="1">
      <c r="A29" s="153"/>
      <c r="B29" s="102" t="s">
        <v>519</v>
      </c>
      <c r="C29" s="178"/>
      <c r="D29" s="178"/>
      <c r="E29" s="179"/>
      <c r="F29" s="179"/>
      <c r="G29" s="184"/>
      <c r="H29" s="180"/>
      <c r="I29" s="181"/>
      <c r="J29" s="182"/>
      <c r="K29" s="183"/>
      <c r="L29" s="72"/>
      <c r="M29" s="73"/>
    </row>
    <row r="30" spans="1:13" ht="15" customHeight="1">
      <c r="A30" s="185" t="s">
        <v>510</v>
      </c>
      <c r="B30" s="186"/>
      <c r="C30" s="152"/>
      <c r="D30" s="152"/>
      <c r="E30" s="150"/>
      <c r="F30" s="150"/>
      <c r="G30" s="103">
        <v>79407.705263157884</v>
      </c>
      <c r="H30" s="50">
        <v>0</v>
      </c>
      <c r="I30" s="101">
        <v>0</v>
      </c>
      <c r="J30" s="104">
        <f t="shared" ref="J30" si="16">G30*(1-I30)</f>
        <v>79407.705263157884</v>
      </c>
      <c r="K30" s="105">
        <f t="shared" ref="K30" si="17">J30*H30</f>
        <v>0</v>
      </c>
      <c r="L30" s="72"/>
      <c r="M30" s="73"/>
    </row>
    <row r="31" spans="1:13" ht="60.75" customHeight="1">
      <c r="A31" s="134" t="s">
        <v>511</v>
      </c>
      <c r="B31" s="135"/>
      <c r="C31" s="135"/>
      <c r="D31" s="136"/>
      <c r="E31" s="136"/>
      <c r="F31" s="136"/>
      <c r="G31" s="136"/>
      <c r="H31" s="136"/>
      <c r="I31" s="136"/>
      <c r="J31" s="136"/>
      <c r="K31" s="136"/>
      <c r="L31" s="136"/>
      <c r="M31" s="137"/>
    </row>
    <row r="32" spans="1:13" ht="15" customHeight="1">
      <c r="A32" s="138" t="s">
        <v>499</v>
      </c>
      <c r="B32" s="100" t="s">
        <v>500</v>
      </c>
      <c r="C32" s="129">
        <v>2.25</v>
      </c>
      <c r="D32" s="129">
        <v>2.2999999999999998</v>
      </c>
      <c r="E32" s="129" t="s">
        <v>310</v>
      </c>
      <c r="F32" s="129" t="s">
        <v>311</v>
      </c>
      <c r="G32" s="177">
        <v>18249.07160167184</v>
      </c>
      <c r="H32" s="140">
        <v>0</v>
      </c>
      <c r="I32" s="141">
        <f>$B$2</f>
        <v>0</v>
      </c>
      <c r="J32" s="175">
        <f>G32*(1-I32)</f>
        <v>18249.07160167184</v>
      </c>
      <c r="K32" s="176">
        <f>H32*J32</f>
        <v>0</v>
      </c>
      <c r="L32" s="72">
        <f>787*314*253/1000000000</f>
        <v>6.2520854000000001E-2</v>
      </c>
      <c r="M32" s="73">
        <v>9.5</v>
      </c>
    </row>
    <row r="33" spans="1:13" ht="15" customHeight="1">
      <c r="A33" s="126"/>
      <c r="B33" s="102" t="s">
        <v>501</v>
      </c>
      <c r="C33" s="128"/>
      <c r="D33" s="128"/>
      <c r="E33" s="128"/>
      <c r="F33" s="128"/>
      <c r="G33" s="172"/>
      <c r="H33" s="133"/>
      <c r="I33" s="142"/>
      <c r="J33" s="174"/>
      <c r="K33" s="170"/>
      <c r="L33" s="72">
        <f>768*353*490/1000000000</f>
        <v>0.13284096000000001</v>
      </c>
      <c r="M33" s="73">
        <v>24.5</v>
      </c>
    </row>
    <row r="34" spans="1:13" ht="15" customHeight="1">
      <c r="A34" s="125" t="s">
        <v>498</v>
      </c>
      <c r="B34" s="102" t="s">
        <v>502</v>
      </c>
      <c r="C34" s="127">
        <v>2.63</v>
      </c>
      <c r="D34" s="127">
        <v>2.82</v>
      </c>
      <c r="E34" s="129" t="s">
        <v>310</v>
      </c>
      <c r="F34" s="129" t="s">
        <v>311</v>
      </c>
      <c r="G34" s="171">
        <v>18564.639451570099</v>
      </c>
      <c r="H34" s="132">
        <v>0</v>
      </c>
      <c r="I34" s="141">
        <f t="shared" ref="I34" si="18">$B$2</f>
        <v>0</v>
      </c>
      <c r="J34" s="173">
        <f t="shared" ref="J34" si="19">G34*(1-I34)</f>
        <v>18564.639451570099</v>
      </c>
      <c r="K34" s="169">
        <f t="shared" ref="K34" si="20">H34*J34</f>
        <v>0</v>
      </c>
      <c r="L34" s="72">
        <f>852*330*258/1000000000</f>
        <v>7.2539279999999998E-2</v>
      </c>
      <c r="M34" s="73">
        <v>9.5</v>
      </c>
    </row>
    <row r="35" spans="1:13" ht="15" customHeight="1">
      <c r="A35" s="126"/>
      <c r="B35" s="102" t="s">
        <v>503</v>
      </c>
      <c r="C35" s="128"/>
      <c r="D35" s="128"/>
      <c r="E35" s="128"/>
      <c r="F35" s="128"/>
      <c r="G35" s="172"/>
      <c r="H35" s="133"/>
      <c r="I35" s="142"/>
      <c r="J35" s="174"/>
      <c r="K35" s="170"/>
      <c r="L35" s="72">
        <f>768*353*490/1000000000</f>
        <v>0.13284096000000001</v>
      </c>
      <c r="M35" s="73">
        <v>28</v>
      </c>
    </row>
    <row r="36" spans="1:13" ht="15" customHeight="1">
      <c r="A36" s="125" t="s">
        <v>504</v>
      </c>
      <c r="B36" s="102" t="s">
        <v>505</v>
      </c>
      <c r="C36" s="127">
        <v>3.22</v>
      </c>
      <c r="D36" s="127">
        <v>3.51</v>
      </c>
      <c r="E36" s="129" t="s">
        <v>310</v>
      </c>
      <c r="F36" s="129" t="s">
        <v>311</v>
      </c>
      <c r="G36" s="171">
        <v>21390.816441793042</v>
      </c>
      <c r="H36" s="132">
        <v>0</v>
      </c>
      <c r="I36" s="141">
        <f t="shared" ref="I36" si="21">$B$2</f>
        <v>0</v>
      </c>
      <c r="J36" s="173">
        <f t="shared" ref="J36" si="22">G36*(1-I36)</f>
        <v>21390.816441793042</v>
      </c>
      <c r="K36" s="169">
        <f t="shared" ref="K36" si="23">H36*J36</f>
        <v>0</v>
      </c>
      <c r="L36" s="72">
        <f>918*258*370/1000000000</f>
        <v>8.7632280000000007E-2</v>
      </c>
      <c r="M36" s="73">
        <v>11</v>
      </c>
    </row>
    <row r="37" spans="1:13" ht="15" customHeight="1">
      <c r="A37" s="126"/>
      <c r="B37" s="102" t="s">
        <v>506</v>
      </c>
      <c r="C37" s="128"/>
      <c r="D37" s="128"/>
      <c r="E37" s="128"/>
      <c r="F37" s="128"/>
      <c r="G37" s="172"/>
      <c r="H37" s="133"/>
      <c r="I37" s="142"/>
      <c r="J37" s="174"/>
      <c r="K37" s="170"/>
      <c r="L37" s="72">
        <f>823*358*595/1000000000</f>
        <v>0.17530723000000001</v>
      </c>
      <c r="M37" s="73">
        <v>31.5</v>
      </c>
    </row>
    <row r="38" spans="1:13" ht="15" customHeight="1">
      <c r="A38" s="125" t="s">
        <v>492</v>
      </c>
      <c r="B38" s="102" t="s">
        <v>494</v>
      </c>
      <c r="C38" s="127">
        <v>4.7</v>
      </c>
      <c r="D38" s="127">
        <v>4.9000000000000004</v>
      </c>
      <c r="E38" s="127">
        <v>3.22</v>
      </c>
      <c r="F38" s="127">
        <v>3.43</v>
      </c>
      <c r="G38" s="171">
        <v>27757.642105263156</v>
      </c>
      <c r="H38" s="132">
        <v>0</v>
      </c>
      <c r="I38" s="141">
        <f t="shared" ref="I38" si="24">$B$2</f>
        <v>0</v>
      </c>
      <c r="J38" s="173">
        <f t="shared" ref="J38" si="25">G38*(1-I38)</f>
        <v>27757.642105263156</v>
      </c>
      <c r="K38" s="169">
        <f t="shared" ref="K38" si="26">H38*J38</f>
        <v>0</v>
      </c>
      <c r="L38" s="72">
        <f>1013*383*300/1000000000</f>
        <v>0.1163937</v>
      </c>
      <c r="M38" s="73">
        <v>17</v>
      </c>
    </row>
    <row r="39" spans="1:13" ht="15" customHeight="1">
      <c r="A39" s="126"/>
      <c r="B39" s="102" t="s">
        <v>495</v>
      </c>
      <c r="C39" s="128"/>
      <c r="D39" s="128"/>
      <c r="E39" s="128"/>
      <c r="F39" s="128"/>
      <c r="G39" s="172"/>
      <c r="H39" s="133"/>
      <c r="I39" s="142"/>
      <c r="J39" s="174"/>
      <c r="K39" s="170"/>
      <c r="L39" s="72">
        <f>881*363*595/1000000000</f>
        <v>0.19028278500000001</v>
      </c>
      <c r="M39" s="73">
        <v>44</v>
      </c>
    </row>
    <row r="40" spans="1:13" ht="15" customHeight="1">
      <c r="A40" s="125" t="s">
        <v>493</v>
      </c>
      <c r="B40" s="102" t="s">
        <v>496</v>
      </c>
      <c r="C40" s="127">
        <v>6.15</v>
      </c>
      <c r="D40" s="127">
        <v>6.5</v>
      </c>
      <c r="E40" s="127">
        <v>3.24</v>
      </c>
      <c r="F40" s="127">
        <v>3.42</v>
      </c>
      <c r="G40" s="171">
        <v>35377.972180451121</v>
      </c>
      <c r="H40" s="132">
        <v>0</v>
      </c>
      <c r="I40" s="141">
        <f t="shared" ref="I40" si="27">$B$2</f>
        <v>0</v>
      </c>
      <c r="J40" s="173">
        <f t="shared" ref="J40" si="28">G40*(1-I40)</f>
        <v>35377.972180451121</v>
      </c>
      <c r="K40" s="169">
        <f t="shared" ref="K40" si="29">H40*J40</f>
        <v>0</v>
      </c>
      <c r="L40" s="72">
        <f>1013*383*300/1000000000</f>
        <v>0.1163937</v>
      </c>
      <c r="M40" s="73">
        <v>17</v>
      </c>
    </row>
    <row r="41" spans="1:13" ht="15" customHeight="1">
      <c r="A41" s="126"/>
      <c r="B41" s="102" t="s">
        <v>497</v>
      </c>
      <c r="C41" s="128"/>
      <c r="D41" s="128"/>
      <c r="E41" s="128"/>
      <c r="F41" s="128"/>
      <c r="G41" s="172"/>
      <c r="H41" s="133"/>
      <c r="I41" s="142"/>
      <c r="J41" s="174"/>
      <c r="K41" s="170"/>
      <c r="L41" s="72">
        <f>997*728*443/1000000000</f>
        <v>0.32153648800000001</v>
      </c>
      <c r="M41" s="73">
        <v>50</v>
      </c>
    </row>
    <row r="42" spans="1:13" ht="15" customHeight="1">
      <c r="E42" s="6"/>
      <c r="F42" s="6"/>
    </row>
    <row r="43" spans="1:13" ht="15.75" customHeight="1">
      <c r="L43" s="4"/>
    </row>
  </sheetData>
  <mergeCells count="161">
    <mergeCell ref="C2:D2"/>
    <mergeCell ref="E2:F2"/>
    <mergeCell ref="G2:I2"/>
    <mergeCell ref="K2:L2"/>
    <mergeCell ref="A4:C4"/>
    <mergeCell ref="E4:I4"/>
    <mergeCell ref="J4:M4"/>
    <mergeCell ref="A9:C9"/>
    <mergeCell ref="D9:M9"/>
    <mergeCell ref="J7:J8"/>
    <mergeCell ref="K7:K8"/>
    <mergeCell ref="L7:L8"/>
    <mergeCell ref="M7:M8"/>
    <mergeCell ref="B5:C5"/>
    <mergeCell ref="E5:I5"/>
    <mergeCell ref="J5:M5"/>
    <mergeCell ref="A6:M6"/>
    <mergeCell ref="A7:A8"/>
    <mergeCell ref="C7:D7"/>
    <mergeCell ref="E7:F7"/>
    <mergeCell ref="G7:G8"/>
    <mergeCell ref="H7:H8"/>
    <mergeCell ref="I7:I8"/>
    <mergeCell ref="H10:H11"/>
    <mergeCell ref="I10:I11"/>
    <mergeCell ref="J10:J11"/>
    <mergeCell ref="K10:K11"/>
    <mergeCell ref="A12:A13"/>
    <mergeCell ref="C12:C13"/>
    <mergeCell ref="D12:D13"/>
    <mergeCell ref="E12:E13"/>
    <mergeCell ref="F12:F13"/>
    <mergeCell ref="G12:G13"/>
    <mergeCell ref="A10:A11"/>
    <mergeCell ref="C10:C11"/>
    <mergeCell ref="D10:D11"/>
    <mergeCell ref="E10:E11"/>
    <mergeCell ref="F10:F11"/>
    <mergeCell ref="G10:G11"/>
    <mergeCell ref="H12:H13"/>
    <mergeCell ref="I12:I13"/>
    <mergeCell ref="J12:J13"/>
    <mergeCell ref="K12:K13"/>
    <mergeCell ref="K16:K17"/>
    <mergeCell ref="A18:C18"/>
    <mergeCell ref="D18:M18"/>
    <mergeCell ref="H14:H15"/>
    <mergeCell ref="I14:I15"/>
    <mergeCell ref="J14:J15"/>
    <mergeCell ref="K14:K15"/>
    <mergeCell ref="A16:A17"/>
    <mergeCell ref="C16:C17"/>
    <mergeCell ref="D16:D17"/>
    <mergeCell ref="E16:E17"/>
    <mergeCell ref="F16:F17"/>
    <mergeCell ref="G16:G17"/>
    <mergeCell ref="A14:A15"/>
    <mergeCell ref="C14:C15"/>
    <mergeCell ref="D14:D15"/>
    <mergeCell ref="E14:E15"/>
    <mergeCell ref="F14:F15"/>
    <mergeCell ref="G14:G15"/>
    <mergeCell ref="H16:H17"/>
    <mergeCell ref="I16:I17"/>
    <mergeCell ref="J16:J17"/>
    <mergeCell ref="H22:H23"/>
    <mergeCell ref="I22:I23"/>
    <mergeCell ref="J22:J23"/>
    <mergeCell ref="K22:K23"/>
    <mergeCell ref="A25:A26"/>
    <mergeCell ref="G25:G26"/>
    <mergeCell ref="H19:H20"/>
    <mergeCell ref="I19:I20"/>
    <mergeCell ref="J19:J20"/>
    <mergeCell ref="K19:K20"/>
    <mergeCell ref="A22:A23"/>
    <mergeCell ref="G22:G23"/>
    <mergeCell ref="A19:A20"/>
    <mergeCell ref="G19:G20"/>
    <mergeCell ref="E19:E21"/>
    <mergeCell ref="F19:F21"/>
    <mergeCell ref="F22:F24"/>
    <mergeCell ref="E22:E24"/>
    <mergeCell ref="A21:B21"/>
    <mergeCell ref="A24:B24"/>
    <mergeCell ref="C19:C21"/>
    <mergeCell ref="D19:D21"/>
    <mergeCell ref="C22:C24"/>
    <mergeCell ref="D22:D24"/>
    <mergeCell ref="A31:C31"/>
    <mergeCell ref="D31:M31"/>
    <mergeCell ref="C28:C30"/>
    <mergeCell ref="D28:D30"/>
    <mergeCell ref="E25:E27"/>
    <mergeCell ref="E28:E30"/>
    <mergeCell ref="H28:H29"/>
    <mergeCell ref="I28:I29"/>
    <mergeCell ref="J28:J29"/>
    <mergeCell ref="K28:K29"/>
    <mergeCell ref="H25:H26"/>
    <mergeCell ref="I25:I26"/>
    <mergeCell ref="J25:J26"/>
    <mergeCell ref="K25:K26"/>
    <mergeCell ref="A28:A29"/>
    <mergeCell ref="G28:G29"/>
    <mergeCell ref="F25:F27"/>
    <mergeCell ref="F28:F30"/>
    <mergeCell ref="A27:B27"/>
    <mergeCell ref="A30:B30"/>
    <mergeCell ref="C25:C27"/>
    <mergeCell ref="D25:D27"/>
    <mergeCell ref="K32:K33"/>
    <mergeCell ref="A34:A35"/>
    <mergeCell ref="C34:C35"/>
    <mergeCell ref="D34:D35"/>
    <mergeCell ref="E34:E35"/>
    <mergeCell ref="F34:F35"/>
    <mergeCell ref="G34:G35"/>
    <mergeCell ref="A32:A33"/>
    <mergeCell ref="C32:C33"/>
    <mergeCell ref="D32:D33"/>
    <mergeCell ref="E32:E33"/>
    <mergeCell ref="F32:F33"/>
    <mergeCell ref="G32:G33"/>
    <mergeCell ref="H34:H35"/>
    <mergeCell ref="I34:I35"/>
    <mergeCell ref="J34:J35"/>
    <mergeCell ref="K34:K35"/>
    <mergeCell ref="E36:E37"/>
    <mergeCell ref="F36:F37"/>
    <mergeCell ref="G36:G37"/>
    <mergeCell ref="H36:H37"/>
    <mergeCell ref="I36:I37"/>
    <mergeCell ref="J36:J37"/>
    <mergeCell ref="H32:H33"/>
    <mergeCell ref="I32:I33"/>
    <mergeCell ref="J32:J33"/>
    <mergeCell ref="K36:K37"/>
    <mergeCell ref="A38:A39"/>
    <mergeCell ref="C38:C39"/>
    <mergeCell ref="D38:D39"/>
    <mergeCell ref="E38:E39"/>
    <mergeCell ref="F38:F39"/>
    <mergeCell ref="G38:G39"/>
    <mergeCell ref="H40:H41"/>
    <mergeCell ref="I40:I41"/>
    <mergeCell ref="J40:J41"/>
    <mergeCell ref="K40:K41"/>
    <mergeCell ref="H38:H39"/>
    <mergeCell ref="I38:I39"/>
    <mergeCell ref="J38:J39"/>
    <mergeCell ref="K38:K39"/>
    <mergeCell ref="A40:A41"/>
    <mergeCell ref="C40:C41"/>
    <mergeCell ref="D40:D41"/>
    <mergeCell ref="E40:E41"/>
    <mergeCell ref="F40:F41"/>
    <mergeCell ref="G40:G41"/>
    <mergeCell ref="A36:A37"/>
    <mergeCell ref="C36:C37"/>
    <mergeCell ref="D36:D37"/>
  </mergeCells>
  <pageMargins left="0.39370078740157483" right="0.39370078740157483" top="0.39370078740157483" bottom="0.39370078740157483" header="0.31496062992125984" footer="0.31496062992125984"/>
  <pageSetup paperSize="8" scale="3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71635"/>
  </sheetPr>
  <dimension ref="A1:N68"/>
  <sheetViews>
    <sheetView topLeftCell="A44" zoomScale="80" zoomScaleNormal="80" workbookViewId="0">
      <pane xSplit="1" topLeftCell="B1" activePane="topRight" state="frozen"/>
      <selection activeCell="B127" sqref="B127"/>
      <selection pane="topRight" activeCell="G58" sqref="G58"/>
    </sheetView>
  </sheetViews>
  <sheetFormatPr defaultRowHeight="15"/>
  <cols>
    <col min="1" max="1" width="48.140625" style="12" customWidth="1"/>
    <col min="2" max="2" width="13.85546875" style="12" customWidth="1"/>
    <col min="3" max="3" width="13.28515625" style="12" customWidth="1"/>
    <col min="4" max="5" width="13.140625" style="12" customWidth="1"/>
    <col min="6" max="6" width="13.140625" style="11" customWidth="1"/>
    <col min="7" max="7" width="20.140625" style="13" customWidth="1"/>
    <col min="8" max="8" width="9.140625" style="35"/>
    <col min="9" max="9" width="10.28515625" style="36" customWidth="1"/>
    <col min="10" max="10" width="20.140625" style="36" customWidth="1"/>
    <col min="11" max="13" width="15.5703125" style="13" customWidth="1"/>
    <col min="14" max="16384" width="9.140625" style="13"/>
  </cols>
  <sheetData>
    <row r="1" spans="1:14" s="3" customFormat="1" ht="162" customHeight="1">
      <c r="A1" s="1"/>
      <c r="B1" s="24"/>
      <c r="C1" s="1"/>
      <c r="D1" s="5"/>
      <c r="E1" s="1"/>
      <c r="F1" s="1"/>
      <c r="G1" s="5"/>
      <c r="H1" s="5"/>
      <c r="I1" s="5"/>
      <c r="J1" s="5"/>
      <c r="K1" s="5"/>
      <c r="L1" s="1"/>
      <c r="M1" s="1"/>
    </row>
    <row r="2" spans="1:14" s="64" customFormat="1" ht="22.5" customHeight="1">
      <c r="A2" s="56" t="s">
        <v>189</v>
      </c>
      <c r="B2" s="69">
        <v>0</v>
      </c>
      <c r="C2" s="167" t="s">
        <v>365</v>
      </c>
      <c r="D2" s="167"/>
      <c r="E2" s="166">
        <f>SUM(K10:K16,K18:K22,K24:K29,K31:K35,K37:K42,K44:K47,K49:K53,K55:K57)</f>
        <v>0</v>
      </c>
      <c r="F2" s="166"/>
      <c r="G2" s="168" t="s">
        <v>366</v>
      </c>
      <c r="H2" s="168"/>
      <c r="I2" s="168"/>
      <c r="J2" s="71">
        <f>SUMPRODUCT(H10:H16,L10:L16)+SUMPRODUCT(H18:H22,L18:L22)+SUMPRODUCT(H24:H29,L24:L29)+SUMPRODUCT(H24:H29,L24:L29)+SUMPRODUCT(H31:H35,L31:L35)+SUMPRODUCT(H37:H42,L37:L42)+SUMPRODUCT(H49:H53,L49:L53)+SUMPRODUCT(H55:H57,L55:L57)+SUMPRODUCT(H44:H47,L44:L47)</f>
        <v>0</v>
      </c>
      <c r="K2" s="168" t="s">
        <v>367</v>
      </c>
      <c r="L2" s="168"/>
      <c r="M2" s="71">
        <f>SUMPRODUCT(H10:H16,M10:M16)+SUMPRODUCT(H18:H22,M18:M22)+SUMPRODUCT(H24:H29,M24:M29)+SUMPRODUCT(H24:H29,M24:M29)+SUMPRODUCT(H31:H35,M31:M35)+SUMPRODUCT(H37:H42,M37:M42)+SUMPRODUCT(H49:H53,M49:M53)+SUMPRODUCT(H55:H57,M55:M57)+SUMPRODUCT(H44:H47,M44:M47)</f>
        <v>0</v>
      </c>
      <c r="N2" s="68"/>
    </row>
    <row r="3" spans="1:14" s="64" customFormat="1" ht="12.75" customHeight="1">
      <c r="A3" s="57"/>
      <c r="B3" s="58"/>
      <c r="C3" s="57"/>
      <c r="D3" s="57"/>
      <c r="E3" s="59"/>
      <c r="F3" s="60"/>
      <c r="G3" s="60"/>
      <c r="H3" s="60"/>
      <c r="I3" s="60"/>
      <c r="J3" s="61"/>
      <c r="K3" s="60"/>
      <c r="L3" s="60"/>
      <c r="M3" s="61"/>
      <c r="N3" s="65"/>
    </row>
    <row r="4" spans="1:14" s="64" customFormat="1" ht="24" customHeight="1">
      <c r="A4" s="157" t="s">
        <v>368</v>
      </c>
      <c r="B4" s="158"/>
      <c r="C4" s="159"/>
      <c r="D4" s="62" t="s">
        <v>369</v>
      </c>
      <c r="E4" s="160"/>
      <c r="F4" s="160"/>
      <c r="G4" s="160"/>
      <c r="H4" s="160"/>
      <c r="I4" s="161"/>
      <c r="J4" s="164" t="s">
        <v>370</v>
      </c>
      <c r="K4" s="165"/>
      <c r="L4" s="165"/>
      <c r="M4" s="165"/>
      <c r="N4" s="66"/>
    </row>
    <row r="5" spans="1:14" s="64" customFormat="1" ht="21.75" customHeight="1">
      <c r="A5" s="63" t="s">
        <v>371</v>
      </c>
      <c r="B5" s="162"/>
      <c r="C5" s="163"/>
      <c r="D5" s="62" t="s">
        <v>372</v>
      </c>
      <c r="E5" s="160"/>
      <c r="F5" s="160"/>
      <c r="G5" s="160"/>
      <c r="H5" s="160"/>
      <c r="I5" s="161"/>
      <c r="J5" s="164" t="s">
        <v>373</v>
      </c>
      <c r="K5" s="165"/>
      <c r="L5" s="165"/>
      <c r="M5" s="165"/>
      <c r="N5" s="66"/>
    </row>
    <row r="6" spans="1:14" ht="21">
      <c r="A6" s="202" t="s">
        <v>444</v>
      </c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</row>
    <row r="7" spans="1:14" s="12" customFormat="1" ht="15" customHeight="1">
      <c r="A7" s="203" t="s">
        <v>190</v>
      </c>
      <c r="B7" s="49" t="s">
        <v>288</v>
      </c>
      <c r="C7" s="205" t="s">
        <v>191</v>
      </c>
      <c r="D7" s="205"/>
      <c r="E7" s="205" t="s">
        <v>192</v>
      </c>
      <c r="F7" s="205"/>
      <c r="G7" s="205" t="s">
        <v>203</v>
      </c>
      <c r="H7" s="205" t="s">
        <v>193</v>
      </c>
      <c r="I7" s="205" t="s">
        <v>189</v>
      </c>
      <c r="J7" s="207" t="s">
        <v>194</v>
      </c>
      <c r="K7" s="205" t="s">
        <v>195</v>
      </c>
      <c r="L7" s="205" t="s">
        <v>196</v>
      </c>
      <c r="M7" s="205" t="s">
        <v>197</v>
      </c>
    </row>
    <row r="8" spans="1:14" s="14" customFormat="1" ht="24.75" customHeight="1">
      <c r="A8" s="204"/>
      <c r="B8" s="84" t="s">
        <v>220</v>
      </c>
      <c r="C8" s="75" t="s">
        <v>199</v>
      </c>
      <c r="D8" s="75" t="s">
        <v>200</v>
      </c>
      <c r="E8" s="75" t="s">
        <v>201</v>
      </c>
      <c r="F8" s="75" t="s">
        <v>202</v>
      </c>
      <c r="G8" s="206"/>
      <c r="H8" s="206"/>
      <c r="I8" s="206"/>
      <c r="J8" s="208"/>
      <c r="K8" s="206"/>
      <c r="L8" s="206"/>
      <c r="M8" s="206"/>
    </row>
    <row r="9" spans="1:14" ht="73.5" customHeight="1">
      <c r="A9" s="191" t="s">
        <v>156</v>
      </c>
      <c r="B9" s="192"/>
      <c r="C9" s="193"/>
      <c r="D9" s="187"/>
      <c r="E9" s="187"/>
      <c r="F9" s="187"/>
      <c r="G9" s="187"/>
      <c r="H9" s="187"/>
      <c r="I9" s="187"/>
      <c r="J9" s="187"/>
      <c r="K9" s="187"/>
      <c r="L9" s="187"/>
      <c r="M9" s="187"/>
    </row>
    <row r="10" spans="1:14" ht="15.75">
      <c r="A10" s="26" t="s">
        <v>56</v>
      </c>
      <c r="B10" s="54" t="s">
        <v>1</v>
      </c>
      <c r="C10" s="53" t="s">
        <v>411</v>
      </c>
      <c r="D10" s="53" t="s">
        <v>412</v>
      </c>
      <c r="E10" s="54" t="s">
        <v>413</v>
      </c>
      <c r="F10" s="54" t="s">
        <v>414</v>
      </c>
      <c r="G10" s="93">
        <v>1176.8063999999999</v>
      </c>
      <c r="H10" s="50">
        <v>0</v>
      </c>
      <c r="I10" s="51">
        <f>$B$2</f>
        <v>0</v>
      </c>
      <c r="J10" s="94">
        <f>G10*(1-I10)</f>
        <v>1176.8063999999999</v>
      </c>
      <c r="K10" s="37">
        <f>J10*H10</f>
        <v>0</v>
      </c>
      <c r="L10" s="72">
        <f>945*417*630/1000000000</f>
        <v>0.24826095000000001</v>
      </c>
      <c r="M10" s="85">
        <v>46</v>
      </c>
    </row>
    <row r="11" spans="1:14" ht="15.75">
      <c r="A11" s="26" t="s">
        <v>57</v>
      </c>
      <c r="B11" s="54" t="s">
        <v>1</v>
      </c>
      <c r="C11" s="53" t="s">
        <v>415</v>
      </c>
      <c r="D11" s="53" t="s">
        <v>416</v>
      </c>
      <c r="E11" s="54" t="s">
        <v>417</v>
      </c>
      <c r="F11" s="54" t="s">
        <v>418</v>
      </c>
      <c r="G11" s="93">
        <v>1226.9543999999999</v>
      </c>
      <c r="H11" s="50">
        <v>0</v>
      </c>
      <c r="I11" s="51">
        <f t="shared" ref="I11:I16" si="0">$B$2</f>
        <v>0</v>
      </c>
      <c r="J11" s="94">
        <f t="shared" ref="J11:J16" si="1">G11*(1-I11)</f>
        <v>1226.9543999999999</v>
      </c>
      <c r="K11" s="37">
        <f t="shared" ref="K11:K16" si="2">J11*H11</f>
        <v>0</v>
      </c>
      <c r="L11" s="72">
        <f>1026*455*735/1000000000</f>
        <v>0.34312005000000001</v>
      </c>
      <c r="M11" s="85">
        <v>55.5</v>
      </c>
    </row>
    <row r="12" spans="1:14" ht="15.75">
      <c r="A12" s="26" t="s">
        <v>58</v>
      </c>
      <c r="B12" s="54" t="s">
        <v>1</v>
      </c>
      <c r="C12" s="53" t="s">
        <v>419</v>
      </c>
      <c r="D12" s="53" t="s">
        <v>420</v>
      </c>
      <c r="E12" s="54" t="s">
        <v>421</v>
      </c>
      <c r="F12" s="54" t="s">
        <v>382</v>
      </c>
      <c r="G12" s="93">
        <v>1574</v>
      </c>
      <c r="H12" s="50">
        <v>0</v>
      </c>
      <c r="I12" s="51">
        <f t="shared" si="0"/>
        <v>0</v>
      </c>
      <c r="J12" s="94">
        <f t="shared" si="1"/>
        <v>1574</v>
      </c>
      <c r="K12" s="37">
        <f t="shared" si="2"/>
        <v>0</v>
      </c>
      <c r="L12" s="72">
        <f>1026*455*735/1000000000</f>
        <v>0.34312005000000001</v>
      </c>
      <c r="M12" s="85">
        <v>66.5</v>
      </c>
    </row>
    <row r="13" spans="1:14" ht="15.75">
      <c r="A13" s="26" t="s">
        <v>59</v>
      </c>
      <c r="B13" s="54" t="s">
        <v>1</v>
      </c>
      <c r="C13" s="53" t="s">
        <v>422</v>
      </c>
      <c r="D13" s="53" t="s">
        <v>423</v>
      </c>
      <c r="E13" s="54" t="s">
        <v>424</v>
      </c>
      <c r="F13" s="54" t="s">
        <v>414</v>
      </c>
      <c r="G13" s="93">
        <v>1798</v>
      </c>
      <c r="H13" s="50">
        <v>0</v>
      </c>
      <c r="I13" s="51">
        <f t="shared" si="0"/>
        <v>0</v>
      </c>
      <c r="J13" s="94">
        <f t="shared" si="1"/>
        <v>1798</v>
      </c>
      <c r="K13" s="37">
        <f t="shared" si="2"/>
        <v>0</v>
      </c>
      <c r="L13" s="72">
        <f>1080*485*840/1000000000</f>
        <v>0.43999199999999999</v>
      </c>
      <c r="M13" s="85">
        <v>73</v>
      </c>
    </row>
    <row r="14" spans="1:14" ht="15.75">
      <c r="A14" s="26" t="s">
        <v>60</v>
      </c>
      <c r="B14" s="54" t="s">
        <v>1</v>
      </c>
      <c r="C14" s="53" t="s">
        <v>425</v>
      </c>
      <c r="D14" s="53" t="s">
        <v>426</v>
      </c>
      <c r="E14" s="54" t="s">
        <v>427</v>
      </c>
      <c r="F14" s="54" t="s">
        <v>414</v>
      </c>
      <c r="G14" s="93">
        <v>1838.76</v>
      </c>
      <c r="H14" s="50">
        <v>0</v>
      </c>
      <c r="I14" s="51">
        <f t="shared" si="0"/>
        <v>0</v>
      </c>
      <c r="J14" s="94">
        <f t="shared" si="1"/>
        <v>1838.76</v>
      </c>
      <c r="K14" s="37">
        <f t="shared" si="2"/>
        <v>0</v>
      </c>
      <c r="L14" s="72">
        <f>1080*485*840/1000000000</f>
        <v>0.43999199999999999</v>
      </c>
      <c r="M14" s="85">
        <v>74</v>
      </c>
    </row>
    <row r="15" spans="1:14" ht="15.75">
      <c r="A15" s="26" t="s">
        <v>61</v>
      </c>
      <c r="B15" s="54" t="s">
        <v>1</v>
      </c>
      <c r="C15" s="53" t="s">
        <v>428</v>
      </c>
      <c r="D15" s="53" t="s">
        <v>429</v>
      </c>
      <c r="E15" s="54" t="s">
        <v>430</v>
      </c>
      <c r="F15" s="54" t="s">
        <v>379</v>
      </c>
      <c r="G15" s="93">
        <v>2534.1455999999998</v>
      </c>
      <c r="H15" s="50">
        <v>0</v>
      </c>
      <c r="I15" s="51">
        <f t="shared" si="0"/>
        <v>0</v>
      </c>
      <c r="J15" s="94">
        <f t="shared" si="1"/>
        <v>2534.1455999999998</v>
      </c>
      <c r="K15" s="37">
        <f t="shared" si="2"/>
        <v>0</v>
      </c>
      <c r="L15" s="72">
        <f>1155*490*1220/1000000000</f>
        <v>0.69045900000000004</v>
      </c>
      <c r="M15" s="85">
        <v>104</v>
      </c>
    </row>
    <row r="16" spans="1:14" ht="15.75">
      <c r="A16" s="26" t="s">
        <v>62</v>
      </c>
      <c r="B16" s="54" t="s">
        <v>1</v>
      </c>
      <c r="C16" s="53" t="s">
        <v>431</v>
      </c>
      <c r="D16" s="53" t="s">
        <v>432</v>
      </c>
      <c r="E16" s="54" t="s">
        <v>433</v>
      </c>
      <c r="F16" s="54" t="s">
        <v>434</v>
      </c>
      <c r="G16" s="93">
        <v>2756</v>
      </c>
      <c r="H16" s="50">
        <v>0</v>
      </c>
      <c r="I16" s="51">
        <f t="shared" si="0"/>
        <v>0</v>
      </c>
      <c r="J16" s="94">
        <f t="shared" si="1"/>
        <v>2756</v>
      </c>
      <c r="K16" s="37">
        <f t="shared" si="2"/>
        <v>0</v>
      </c>
      <c r="L16" s="72">
        <f>1155*490*1220/1000000000</f>
        <v>0.69045900000000004</v>
      </c>
      <c r="M16" s="85">
        <v>112</v>
      </c>
    </row>
    <row r="17" spans="1:13" ht="73.5" customHeight="1">
      <c r="A17" s="191" t="s">
        <v>63</v>
      </c>
      <c r="B17" s="192"/>
      <c r="C17" s="193"/>
      <c r="D17" s="187"/>
      <c r="E17" s="187"/>
      <c r="F17" s="187"/>
      <c r="G17" s="187"/>
      <c r="H17" s="187"/>
      <c r="I17" s="187"/>
      <c r="J17" s="187"/>
      <c r="K17" s="187"/>
      <c r="L17" s="187"/>
      <c r="M17" s="187"/>
    </row>
    <row r="18" spans="1:13" ht="15.75">
      <c r="A18" s="26" t="s">
        <v>64</v>
      </c>
      <c r="B18" s="54" t="s">
        <v>1</v>
      </c>
      <c r="C18" s="83" t="s">
        <v>435</v>
      </c>
      <c r="D18" s="83" t="s">
        <v>436</v>
      </c>
      <c r="E18" s="83">
        <v>3</v>
      </c>
      <c r="F18" s="83">
        <v>3.38</v>
      </c>
      <c r="G18" s="93">
        <v>3284</v>
      </c>
      <c r="H18" s="50">
        <v>0</v>
      </c>
      <c r="I18" s="51">
        <f t="shared" ref="I18:I22" si="3">$B$2</f>
        <v>0</v>
      </c>
      <c r="J18" s="94">
        <f t="shared" ref="J18:J22" si="4">G18*(1-I18)</f>
        <v>3284</v>
      </c>
      <c r="K18" s="37">
        <f t="shared" ref="K18:K22" si="5">J18*H18</f>
        <v>0</v>
      </c>
      <c r="L18" s="72">
        <f>980*440*1383/1000000000</f>
        <v>0.59634960000000004</v>
      </c>
      <c r="M18" s="85">
        <v>125</v>
      </c>
    </row>
    <row r="19" spans="1:13" ht="15.75">
      <c r="A19" s="26" t="s">
        <v>65</v>
      </c>
      <c r="B19" s="54" t="s">
        <v>1</v>
      </c>
      <c r="C19" s="83" t="s">
        <v>437</v>
      </c>
      <c r="D19" s="83" t="s">
        <v>438</v>
      </c>
      <c r="E19" s="83">
        <v>2.86</v>
      </c>
      <c r="F19" s="83">
        <v>3.6</v>
      </c>
      <c r="G19" s="93">
        <v>3610.6559999999999</v>
      </c>
      <c r="H19" s="50">
        <v>0</v>
      </c>
      <c r="I19" s="51">
        <f t="shared" si="3"/>
        <v>0</v>
      </c>
      <c r="J19" s="94">
        <f t="shared" si="4"/>
        <v>3610.6559999999999</v>
      </c>
      <c r="K19" s="37">
        <f t="shared" si="5"/>
        <v>0</v>
      </c>
      <c r="L19" s="72">
        <f>980*440*1383/1000000000</f>
        <v>0.59634960000000004</v>
      </c>
      <c r="M19" s="85">
        <v>125</v>
      </c>
    </row>
    <row r="20" spans="1:13" ht="15.75">
      <c r="A20" s="26" t="s">
        <v>66</v>
      </c>
      <c r="B20" s="54" t="s">
        <v>1</v>
      </c>
      <c r="C20" s="83" t="s">
        <v>437</v>
      </c>
      <c r="D20" s="83" t="s">
        <v>439</v>
      </c>
      <c r="E20" s="83">
        <v>2.9</v>
      </c>
      <c r="F20" s="83">
        <v>3.2</v>
      </c>
      <c r="G20" s="93">
        <v>3410.0639999999999</v>
      </c>
      <c r="H20" s="50">
        <v>0</v>
      </c>
      <c r="I20" s="51">
        <f t="shared" si="3"/>
        <v>0</v>
      </c>
      <c r="J20" s="94">
        <f t="shared" si="4"/>
        <v>3410.0639999999999</v>
      </c>
      <c r="K20" s="37">
        <f t="shared" si="5"/>
        <v>0</v>
      </c>
      <c r="L20" s="72">
        <f>980*440*1383/1000000000</f>
        <v>0.59634960000000004</v>
      </c>
      <c r="M20" s="85">
        <v>125</v>
      </c>
    </row>
    <row r="21" spans="1:13" s="17" customFormat="1" ht="15.75">
      <c r="A21" s="26" t="s">
        <v>67</v>
      </c>
      <c r="B21" s="54" t="s">
        <v>1</v>
      </c>
      <c r="C21" s="83" t="s">
        <v>440</v>
      </c>
      <c r="D21" s="83" t="s">
        <v>441</v>
      </c>
      <c r="E21" s="83">
        <v>2.92</v>
      </c>
      <c r="F21" s="83">
        <v>3.95</v>
      </c>
      <c r="G21" s="93">
        <v>3720.9815999999996</v>
      </c>
      <c r="H21" s="50">
        <v>0</v>
      </c>
      <c r="I21" s="51">
        <f t="shared" si="3"/>
        <v>0</v>
      </c>
      <c r="J21" s="94">
        <f t="shared" si="4"/>
        <v>3720.9815999999996</v>
      </c>
      <c r="K21" s="37">
        <f t="shared" si="5"/>
        <v>0</v>
      </c>
      <c r="L21" s="72">
        <f>980*440*1383/1000000000</f>
        <v>0.59634960000000004</v>
      </c>
      <c r="M21" s="85">
        <v>125</v>
      </c>
    </row>
    <row r="22" spans="1:13" ht="15.75">
      <c r="A22" s="26" t="s">
        <v>68</v>
      </c>
      <c r="B22" s="54" t="s">
        <v>1</v>
      </c>
      <c r="C22" s="83" t="s">
        <v>442</v>
      </c>
      <c r="D22" s="83" t="s">
        <v>443</v>
      </c>
      <c r="E22" s="83">
        <v>2.8</v>
      </c>
      <c r="F22" s="83">
        <v>3.5</v>
      </c>
      <c r="G22" s="93">
        <v>3518</v>
      </c>
      <c r="H22" s="50">
        <v>0</v>
      </c>
      <c r="I22" s="51">
        <f t="shared" si="3"/>
        <v>0</v>
      </c>
      <c r="J22" s="94">
        <f t="shared" si="4"/>
        <v>3518</v>
      </c>
      <c r="K22" s="37">
        <f t="shared" si="5"/>
        <v>0</v>
      </c>
      <c r="L22" s="72">
        <f>980*440*1383/1000000000</f>
        <v>0.59634960000000004</v>
      </c>
      <c r="M22" s="85">
        <v>125</v>
      </c>
    </row>
    <row r="23" spans="1:13" ht="73.5" customHeight="1">
      <c r="A23" s="191" t="s">
        <v>232</v>
      </c>
      <c r="B23" s="192"/>
      <c r="C23" s="193"/>
      <c r="D23" s="187"/>
      <c r="E23" s="187"/>
      <c r="F23" s="187"/>
      <c r="G23" s="187"/>
      <c r="H23" s="187"/>
      <c r="I23" s="187"/>
      <c r="J23" s="187"/>
      <c r="K23" s="187"/>
      <c r="L23" s="187"/>
      <c r="M23" s="187"/>
    </row>
    <row r="24" spans="1:13" ht="15.75">
      <c r="A24" s="26" t="s">
        <v>221</v>
      </c>
      <c r="B24" s="54" t="s">
        <v>1</v>
      </c>
      <c r="C24" s="188" t="s">
        <v>445</v>
      </c>
      <c r="D24" s="189"/>
      <c r="E24" s="189"/>
      <c r="F24" s="190"/>
      <c r="G24" s="93">
        <v>310</v>
      </c>
      <c r="H24" s="50">
        <v>0</v>
      </c>
      <c r="I24" s="51">
        <f t="shared" ref="I24:I29" si="6">$B$2</f>
        <v>0</v>
      </c>
      <c r="J24" s="94">
        <f t="shared" ref="J24:J29" si="7">G24*(1-I24)</f>
        <v>310</v>
      </c>
      <c r="K24" s="37">
        <f t="shared" ref="K24:K29" si="8">J24*H24</f>
        <v>0</v>
      </c>
      <c r="L24" s="72">
        <f>683*392*270/1000000000</f>
        <v>7.2288720000000001E-2</v>
      </c>
      <c r="M24" s="85">
        <v>7.5</v>
      </c>
    </row>
    <row r="25" spans="1:13" ht="15.75">
      <c r="A25" s="26" t="s">
        <v>222</v>
      </c>
      <c r="B25" s="54" t="s">
        <v>1</v>
      </c>
      <c r="C25" s="188" t="s">
        <v>445</v>
      </c>
      <c r="D25" s="189"/>
      <c r="E25" s="189"/>
      <c r="F25" s="190"/>
      <c r="G25" s="93">
        <v>310</v>
      </c>
      <c r="H25" s="50">
        <v>0</v>
      </c>
      <c r="I25" s="51">
        <f t="shared" si="6"/>
        <v>0</v>
      </c>
      <c r="J25" s="94">
        <f t="shared" si="7"/>
        <v>310</v>
      </c>
      <c r="K25" s="37">
        <f t="shared" si="8"/>
        <v>0</v>
      </c>
      <c r="L25" s="72">
        <f>683*392*270/1000000000</f>
        <v>7.2288720000000001E-2</v>
      </c>
      <c r="M25" s="85">
        <v>7.5</v>
      </c>
    </row>
    <row r="26" spans="1:13" ht="15.75">
      <c r="A26" s="26" t="s">
        <v>223</v>
      </c>
      <c r="B26" s="54" t="s">
        <v>1</v>
      </c>
      <c r="C26" s="188" t="s">
        <v>446</v>
      </c>
      <c r="D26" s="189"/>
      <c r="E26" s="189"/>
      <c r="F26" s="190"/>
      <c r="G26" s="93">
        <v>399</v>
      </c>
      <c r="H26" s="50">
        <v>0</v>
      </c>
      <c r="I26" s="51">
        <f t="shared" si="6"/>
        <v>0</v>
      </c>
      <c r="J26" s="94">
        <f t="shared" si="7"/>
        <v>399</v>
      </c>
      <c r="K26" s="37">
        <f t="shared" si="8"/>
        <v>0</v>
      </c>
      <c r="L26" s="72">
        <f>683*392*270/1000000000</f>
        <v>7.2288720000000001E-2</v>
      </c>
      <c r="M26" s="85">
        <v>8</v>
      </c>
    </row>
    <row r="27" spans="1:13" ht="15.75">
      <c r="A27" s="26" t="s">
        <v>224</v>
      </c>
      <c r="B27" s="54" t="s">
        <v>1</v>
      </c>
      <c r="C27" s="188" t="s">
        <v>446</v>
      </c>
      <c r="D27" s="189"/>
      <c r="E27" s="189"/>
      <c r="F27" s="190"/>
      <c r="G27" s="93">
        <v>399</v>
      </c>
      <c r="H27" s="50">
        <v>0</v>
      </c>
      <c r="I27" s="51">
        <f t="shared" si="6"/>
        <v>0</v>
      </c>
      <c r="J27" s="94">
        <f t="shared" si="7"/>
        <v>399</v>
      </c>
      <c r="K27" s="37">
        <f t="shared" si="8"/>
        <v>0</v>
      </c>
      <c r="L27" s="72">
        <f>683*392*270/1000000000</f>
        <v>7.2288720000000001E-2</v>
      </c>
      <c r="M27" s="85">
        <v>8</v>
      </c>
    </row>
    <row r="28" spans="1:13" s="18" customFormat="1" ht="15.75">
      <c r="A28" s="26" t="s">
        <v>225</v>
      </c>
      <c r="B28" s="54" t="s">
        <v>1</v>
      </c>
      <c r="C28" s="188" t="s">
        <v>446</v>
      </c>
      <c r="D28" s="189"/>
      <c r="E28" s="189"/>
      <c r="F28" s="190"/>
      <c r="G28" s="93">
        <v>420</v>
      </c>
      <c r="H28" s="50">
        <v>0</v>
      </c>
      <c r="I28" s="51">
        <f t="shared" si="6"/>
        <v>0</v>
      </c>
      <c r="J28" s="94">
        <f t="shared" si="7"/>
        <v>420</v>
      </c>
      <c r="K28" s="37">
        <f t="shared" si="8"/>
        <v>0</v>
      </c>
      <c r="L28" s="72">
        <f>676*473*275/1000000000</f>
        <v>8.7930700000000001E-2</v>
      </c>
      <c r="M28" s="85">
        <v>10</v>
      </c>
    </row>
    <row r="29" spans="1:13" s="18" customFormat="1" ht="15.75">
      <c r="A29" s="26" t="s">
        <v>226</v>
      </c>
      <c r="B29" s="54" t="s">
        <v>1</v>
      </c>
      <c r="C29" s="188" t="s">
        <v>447</v>
      </c>
      <c r="D29" s="189"/>
      <c r="E29" s="189"/>
      <c r="F29" s="190"/>
      <c r="G29" s="93">
        <v>578.3735999999999</v>
      </c>
      <c r="H29" s="50">
        <v>0</v>
      </c>
      <c r="I29" s="51">
        <f t="shared" si="6"/>
        <v>0</v>
      </c>
      <c r="J29" s="94">
        <f t="shared" si="7"/>
        <v>578.3735999999999</v>
      </c>
      <c r="K29" s="37">
        <f t="shared" si="8"/>
        <v>0</v>
      </c>
      <c r="L29" s="72">
        <f>676*473*275/1000000000</f>
        <v>8.7930700000000001E-2</v>
      </c>
      <c r="M29" s="85">
        <v>11</v>
      </c>
    </row>
    <row r="30" spans="1:13" s="18" customFormat="1" ht="73.5" customHeight="1">
      <c r="A30" s="191" t="s">
        <v>227</v>
      </c>
      <c r="B30" s="192"/>
      <c r="C30" s="193"/>
      <c r="D30" s="187"/>
      <c r="E30" s="187"/>
      <c r="F30" s="187"/>
      <c r="G30" s="187"/>
      <c r="H30" s="187"/>
      <c r="I30" s="187"/>
      <c r="J30" s="187"/>
      <c r="K30" s="187"/>
      <c r="L30" s="187"/>
      <c r="M30" s="187"/>
    </row>
    <row r="31" spans="1:13" s="18" customFormat="1" ht="15.75">
      <c r="A31" s="26" t="s">
        <v>69</v>
      </c>
      <c r="B31" s="54" t="s">
        <v>1</v>
      </c>
      <c r="C31" s="83">
        <v>2.1</v>
      </c>
      <c r="D31" s="83">
        <v>2.6</v>
      </c>
      <c r="E31" s="80" t="s">
        <v>1</v>
      </c>
      <c r="F31" s="80" t="s">
        <v>1</v>
      </c>
      <c r="G31" s="93">
        <v>265</v>
      </c>
      <c r="H31" s="50">
        <v>0</v>
      </c>
      <c r="I31" s="51">
        <f t="shared" ref="I31:I35" si="9">$B$2</f>
        <v>0</v>
      </c>
      <c r="J31" s="94">
        <f t="shared" ref="J31:J35" si="10">G31*(1-I31)</f>
        <v>265</v>
      </c>
      <c r="K31" s="37">
        <f t="shared" ref="K31:K35" si="11">J31*H31</f>
        <v>0</v>
      </c>
      <c r="L31" s="72">
        <f>923*264*356/1000000000</f>
        <v>8.6747231999999994E-2</v>
      </c>
      <c r="M31" s="85">
        <v>11</v>
      </c>
    </row>
    <row r="32" spans="1:13" s="18" customFormat="1" ht="15.75">
      <c r="A32" s="26" t="s">
        <v>70</v>
      </c>
      <c r="B32" s="54" t="s">
        <v>1</v>
      </c>
      <c r="C32" s="83">
        <v>2.6</v>
      </c>
      <c r="D32" s="83">
        <v>3</v>
      </c>
      <c r="E32" s="80" t="s">
        <v>1</v>
      </c>
      <c r="F32" s="80" t="s">
        <v>1</v>
      </c>
      <c r="G32" s="93">
        <v>277.48559999999998</v>
      </c>
      <c r="H32" s="50">
        <v>0</v>
      </c>
      <c r="I32" s="51">
        <f t="shared" si="9"/>
        <v>0</v>
      </c>
      <c r="J32" s="94">
        <f t="shared" si="10"/>
        <v>277.48559999999998</v>
      </c>
      <c r="K32" s="37">
        <f t="shared" si="11"/>
        <v>0</v>
      </c>
      <c r="L32" s="72">
        <f>923*264*356/1000000000</f>
        <v>8.6747231999999994E-2</v>
      </c>
      <c r="M32" s="85">
        <v>11</v>
      </c>
    </row>
    <row r="33" spans="1:13" s="18" customFormat="1" ht="15.75">
      <c r="A33" s="26" t="s">
        <v>71</v>
      </c>
      <c r="B33" s="54" t="s">
        <v>1</v>
      </c>
      <c r="C33" s="83">
        <v>3.5</v>
      </c>
      <c r="D33" s="83">
        <v>4</v>
      </c>
      <c r="E33" s="80" t="s">
        <v>1</v>
      </c>
      <c r="F33" s="80" t="s">
        <v>1</v>
      </c>
      <c r="G33" s="93">
        <v>375</v>
      </c>
      <c r="H33" s="50">
        <v>0</v>
      </c>
      <c r="I33" s="51">
        <f t="shared" si="9"/>
        <v>0</v>
      </c>
      <c r="J33" s="94">
        <f t="shared" si="10"/>
        <v>375</v>
      </c>
      <c r="K33" s="37">
        <f t="shared" si="11"/>
        <v>0</v>
      </c>
      <c r="L33" s="72">
        <f>923*264*356/1000000000</f>
        <v>8.6747231999999994E-2</v>
      </c>
      <c r="M33" s="85">
        <v>12</v>
      </c>
    </row>
    <row r="34" spans="1:13" s="18" customFormat="1" ht="15.75">
      <c r="A34" s="26" t="s">
        <v>72</v>
      </c>
      <c r="B34" s="54" t="s">
        <v>1</v>
      </c>
      <c r="C34" s="83">
        <v>5.27</v>
      </c>
      <c r="D34" s="83">
        <v>5.8</v>
      </c>
      <c r="E34" s="80" t="s">
        <v>1</v>
      </c>
      <c r="F34" s="80" t="s">
        <v>1</v>
      </c>
      <c r="G34" s="93">
        <v>454</v>
      </c>
      <c r="H34" s="50">
        <v>0</v>
      </c>
      <c r="I34" s="51">
        <f t="shared" si="9"/>
        <v>0</v>
      </c>
      <c r="J34" s="94">
        <f t="shared" si="10"/>
        <v>454</v>
      </c>
      <c r="K34" s="37">
        <f t="shared" si="11"/>
        <v>0</v>
      </c>
      <c r="L34" s="72">
        <f>1010*380*285/1000000000</f>
        <v>0.10938299999999999</v>
      </c>
      <c r="M34" s="85">
        <v>15</v>
      </c>
    </row>
    <row r="35" spans="1:13" s="18" customFormat="1" ht="15.75">
      <c r="A35" s="26" t="s">
        <v>73</v>
      </c>
      <c r="B35" s="54" t="s">
        <v>1</v>
      </c>
      <c r="C35" s="83">
        <v>6.45</v>
      </c>
      <c r="D35" s="83">
        <v>6.8</v>
      </c>
      <c r="E35" s="80" t="s">
        <v>1</v>
      </c>
      <c r="F35" s="80" t="s">
        <v>1</v>
      </c>
      <c r="G35" s="93">
        <v>533</v>
      </c>
      <c r="H35" s="50">
        <v>0</v>
      </c>
      <c r="I35" s="51">
        <f t="shared" si="9"/>
        <v>0</v>
      </c>
      <c r="J35" s="94">
        <f t="shared" si="10"/>
        <v>533</v>
      </c>
      <c r="K35" s="37">
        <f t="shared" si="11"/>
        <v>0</v>
      </c>
      <c r="L35" s="72">
        <f>1018*315*233/1000000000</f>
        <v>7.4716110000000002E-2</v>
      </c>
      <c r="M35" s="85">
        <v>18.5</v>
      </c>
    </row>
    <row r="36" spans="1:13" s="18" customFormat="1" ht="73.5" customHeight="1">
      <c r="A36" s="191" t="s">
        <v>233</v>
      </c>
      <c r="B36" s="192"/>
      <c r="C36" s="193"/>
      <c r="D36" s="187"/>
      <c r="E36" s="187"/>
      <c r="F36" s="187"/>
      <c r="G36" s="187"/>
      <c r="H36" s="187"/>
      <c r="I36" s="187"/>
      <c r="J36" s="187"/>
      <c r="K36" s="187"/>
      <c r="L36" s="187"/>
      <c r="M36" s="187"/>
    </row>
    <row r="37" spans="1:13" s="18" customFormat="1">
      <c r="A37" s="196" t="s">
        <v>188</v>
      </c>
      <c r="B37" s="52" t="s">
        <v>228</v>
      </c>
      <c r="C37" s="154">
        <v>3.5</v>
      </c>
      <c r="D37" s="154">
        <v>4</v>
      </c>
      <c r="E37" s="200" t="s">
        <v>1</v>
      </c>
      <c r="F37" s="197" t="s">
        <v>1</v>
      </c>
      <c r="G37" s="198">
        <v>601.77599999999995</v>
      </c>
      <c r="H37" s="48">
        <v>0</v>
      </c>
      <c r="I37" s="199">
        <f t="shared" ref="I37:I42" si="12">$B$2</f>
        <v>0</v>
      </c>
      <c r="J37" s="194">
        <f>G37*(1-I37)</f>
        <v>601.77599999999995</v>
      </c>
      <c r="K37" s="195">
        <f>J37*H37</f>
        <v>0</v>
      </c>
      <c r="L37" s="72">
        <f>851*731*325/1000000000</f>
        <v>0.20217632499999999</v>
      </c>
      <c r="M37" s="85">
        <v>23</v>
      </c>
    </row>
    <row r="38" spans="1:13" s="18" customFormat="1">
      <c r="A38" s="196"/>
      <c r="B38" s="52" t="s">
        <v>229</v>
      </c>
      <c r="C38" s="154"/>
      <c r="D38" s="154"/>
      <c r="E38" s="201"/>
      <c r="F38" s="197"/>
      <c r="G38" s="198">
        <v>0</v>
      </c>
      <c r="H38" s="48">
        <v>0</v>
      </c>
      <c r="I38" s="199">
        <f t="shared" si="12"/>
        <v>0</v>
      </c>
      <c r="J38" s="194"/>
      <c r="K38" s="195"/>
      <c r="L38" s="72">
        <f>733*673*117/1000000000</f>
        <v>5.7717153E-2</v>
      </c>
      <c r="M38" s="85">
        <v>3.5</v>
      </c>
    </row>
    <row r="39" spans="1:13" s="18" customFormat="1">
      <c r="A39" s="196" t="s">
        <v>187</v>
      </c>
      <c r="B39" s="52" t="s">
        <v>230</v>
      </c>
      <c r="C39" s="154">
        <v>4.5</v>
      </c>
      <c r="D39" s="154">
        <v>5</v>
      </c>
      <c r="E39" s="197" t="s">
        <v>1</v>
      </c>
      <c r="F39" s="197" t="s">
        <v>1</v>
      </c>
      <c r="G39" s="198">
        <v>645.23759999999993</v>
      </c>
      <c r="H39" s="48">
        <v>0</v>
      </c>
      <c r="I39" s="199">
        <f t="shared" si="12"/>
        <v>0</v>
      </c>
      <c r="J39" s="194">
        <f t="shared" ref="J39" si="13">G39*(1-I39)</f>
        <v>645.23759999999993</v>
      </c>
      <c r="K39" s="195">
        <f t="shared" ref="K39" si="14">J39*H39</f>
        <v>0</v>
      </c>
      <c r="L39" s="72">
        <f>851*731*325/1000000000</f>
        <v>0.20217632499999999</v>
      </c>
      <c r="M39" s="85">
        <v>23</v>
      </c>
    </row>
    <row r="40" spans="1:13" s="18" customFormat="1">
      <c r="A40" s="196"/>
      <c r="B40" s="52" t="s">
        <v>229</v>
      </c>
      <c r="C40" s="154"/>
      <c r="D40" s="154"/>
      <c r="E40" s="197"/>
      <c r="F40" s="197"/>
      <c r="G40" s="198"/>
      <c r="H40" s="48">
        <v>0</v>
      </c>
      <c r="I40" s="199">
        <f t="shared" si="12"/>
        <v>0</v>
      </c>
      <c r="J40" s="194"/>
      <c r="K40" s="195"/>
      <c r="L40" s="72">
        <f>733*673*117/1000000000</f>
        <v>5.7717153E-2</v>
      </c>
      <c r="M40" s="85">
        <v>3.5</v>
      </c>
    </row>
    <row r="41" spans="1:13" s="18" customFormat="1">
      <c r="A41" s="196" t="s">
        <v>186</v>
      </c>
      <c r="B41" s="52" t="s">
        <v>231</v>
      </c>
      <c r="C41" s="154">
        <v>7.1</v>
      </c>
      <c r="D41" s="154">
        <v>8</v>
      </c>
      <c r="E41" s="197" t="s">
        <v>1</v>
      </c>
      <c r="F41" s="197" t="s">
        <v>1</v>
      </c>
      <c r="G41" s="198">
        <v>817</v>
      </c>
      <c r="H41" s="48">
        <v>0</v>
      </c>
      <c r="I41" s="199">
        <f t="shared" si="12"/>
        <v>0</v>
      </c>
      <c r="J41" s="194">
        <f t="shared" ref="J41" si="15">G41*(1-I41)</f>
        <v>817</v>
      </c>
      <c r="K41" s="195">
        <f t="shared" ref="K41" si="16">J41*H41</f>
        <v>0</v>
      </c>
      <c r="L41" s="72">
        <f>963*963*325/1000000000</f>
        <v>0.30139492499999998</v>
      </c>
      <c r="M41" s="85">
        <v>38</v>
      </c>
    </row>
    <row r="42" spans="1:13" s="18" customFormat="1">
      <c r="A42" s="196" t="s">
        <v>74</v>
      </c>
      <c r="B42" s="52" t="s">
        <v>229</v>
      </c>
      <c r="C42" s="154"/>
      <c r="D42" s="154"/>
      <c r="E42" s="197" t="e">
        <f>G41-#REF!</f>
        <v>#REF!</v>
      </c>
      <c r="F42" s="197"/>
      <c r="G42" s="198"/>
      <c r="H42" s="48">
        <v>0</v>
      </c>
      <c r="I42" s="199">
        <f t="shared" si="12"/>
        <v>0</v>
      </c>
      <c r="J42" s="194"/>
      <c r="K42" s="195"/>
      <c r="L42" s="72">
        <f>733*673*117/1000000000</f>
        <v>5.7717153E-2</v>
      </c>
      <c r="M42" s="85">
        <v>3.5</v>
      </c>
    </row>
    <row r="43" spans="1:13" s="18" customFormat="1" ht="73.5" customHeight="1">
      <c r="A43" s="191" t="s">
        <v>234</v>
      </c>
      <c r="B43" s="192"/>
      <c r="C43" s="193"/>
      <c r="D43" s="187"/>
      <c r="E43" s="187"/>
      <c r="F43" s="187"/>
      <c r="G43" s="187"/>
      <c r="H43" s="187"/>
      <c r="I43" s="187"/>
      <c r="J43" s="187"/>
      <c r="K43" s="187"/>
      <c r="L43" s="187"/>
      <c r="M43" s="187"/>
    </row>
    <row r="44" spans="1:13" s="18" customFormat="1" ht="15.75">
      <c r="A44" s="26" t="s">
        <v>75</v>
      </c>
      <c r="B44" s="54" t="s">
        <v>1</v>
      </c>
      <c r="C44" s="53">
        <v>2.2000000000000002</v>
      </c>
      <c r="D44" s="86">
        <v>2.8</v>
      </c>
      <c r="E44" s="87" t="s">
        <v>1</v>
      </c>
      <c r="F44" s="87" t="s">
        <v>1</v>
      </c>
      <c r="G44" s="93">
        <v>621</v>
      </c>
      <c r="H44" s="88">
        <v>0</v>
      </c>
      <c r="I44" s="89">
        <f t="shared" ref="I44:I47" si="17">$B$2</f>
        <v>0</v>
      </c>
      <c r="J44" s="94">
        <f t="shared" ref="J44:J47" si="18">G44*(1-I44)</f>
        <v>621</v>
      </c>
      <c r="K44" s="90">
        <f t="shared" ref="K44:K47" si="19">J44*H44</f>
        <v>0</v>
      </c>
      <c r="L44" s="91">
        <f>1343*823*315/1000000000</f>
        <v>0.34816603499999998</v>
      </c>
      <c r="M44" s="92">
        <v>50</v>
      </c>
    </row>
    <row r="45" spans="1:13" ht="15.75">
      <c r="A45" s="26" t="s">
        <v>76</v>
      </c>
      <c r="B45" s="54" t="s">
        <v>1</v>
      </c>
      <c r="C45" s="53">
        <v>3.5</v>
      </c>
      <c r="D45" s="86">
        <v>3.85</v>
      </c>
      <c r="E45" s="87" t="s">
        <v>1</v>
      </c>
      <c r="F45" s="87" t="s">
        <v>1</v>
      </c>
      <c r="G45" s="93">
        <v>635</v>
      </c>
      <c r="H45" s="88">
        <v>0</v>
      </c>
      <c r="I45" s="89">
        <f t="shared" si="17"/>
        <v>0</v>
      </c>
      <c r="J45" s="94">
        <f t="shared" si="18"/>
        <v>635</v>
      </c>
      <c r="K45" s="90">
        <f t="shared" si="19"/>
        <v>0</v>
      </c>
      <c r="L45" s="91">
        <f>1343*823*315/1000000000</f>
        <v>0.34816603499999998</v>
      </c>
      <c r="M45" s="92">
        <v>50</v>
      </c>
    </row>
    <row r="46" spans="1:13" s="18" customFormat="1" ht="15.75">
      <c r="A46" s="26" t="s">
        <v>77</v>
      </c>
      <c r="B46" s="54" t="s">
        <v>1</v>
      </c>
      <c r="C46" s="53">
        <v>5</v>
      </c>
      <c r="D46" s="86">
        <v>5.5</v>
      </c>
      <c r="E46" s="87" t="s">
        <v>1</v>
      </c>
      <c r="F46" s="87" t="s">
        <v>1</v>
      </c>
      <c r="G46" s="93">
        <v>650</v>
      </c>
      <c r="H46" s="88">
        <v>0</v>
      </c>
      <c r="I46" s="89">
        <f t="shared" si="17"/>
        <v>0</v>
      </c>
      <c r="J46" s="94">
        <f t="shared" si="18"/>
        <v>650</v>
      </c>
      <c r="K46" s="90">
        <f t="shared" si="19"/>
        <v>0</v>
      </c>
      <c r="L46" s="91">
        <f>1343*823*315/1000000000</f>
        <v>0.34816603499999998</v>
      </c>
      <c r="M46" s="92">
        <v>50</v>
      </c>
    </row>
    <row r="47" spans="1:13" s="18" customFormat="1" ht="15.75">
      <c r="A47" s="26" t="s">
        <v>78</v>
      </c>
      <c r="B47" s="54" t="s">
        <v>1</v>
      </c>
      <c r="C47" s="53">
        <v>7.1</v>
      </c>
      <c r="D47" s="86">
        <v>8</v>
      </c>
      <c r="E47" s="87" t="s">
        <v>1</v>
      </c>
      <c r="F47" s="87" t="s">
        <v>1</v>
      </c>
      <c r="G47" s="93">
        <v>758.90639999999985</v>
      </c>
      <c r="H47" s="88">
        <v>0</v>
      </c>
      <c r="I47" s="89">
        <f t="shared" si="17"/>
        <v>0</v>
      </c>
      <c r="J47" s="94">
        <f t="shared" si="18"/>
        <v>758.90639999999985</v>
      </c>
      <c r="K47" s="90">
        <f t="shared" si="19"/>
        <v>0</v>
      </c>
      <c r="L47" s="91">
        <f>1343*823*315/1000000000</f>
        <v>0.34816603499999998</v>
      </c>
      <c r="M47" s="92">
        <v>54</v>
      </c>
    </row>
    <row r="48" spans="1:13" s="18" customFormat="1" ht="73.5" customHeight="1">
      <c r="A48" s="191" t="s">
        <v>235</v>
      </c>
      <c r="B48" s="192"/>
      <c r="C48" s="193"/>
      <c r="D48" s="187"/>
      <c r="E48" s="187"/>
      <c r="F48" s="187"/>
      <c r="G48" s="187"/>
      <c r="H48" s="187"/>
      <c r="I48" s="187"/>
      <c r="J48" s="187"/>
      <c r="K48" s="187"/>
      <c r="L48" s="187"/>
      <c r="M48" s="187"/>
    </row>
    <row r="49" spans="1:13" s="18" customFormat="1" ht="15.75">
      <c r="A49" s="26" t="s">
        <v>79</v>
      </c>
      <c r="B49" s="54" t="s">
        <v>1</v>
      </c>
      <c r="C49" s="83">
        <v>2.5</v>
      </c>
      <c r="D49" s="83">
        <v>2.8</v>
      </c>
      <c r="E49" s="54" t="s">
        <v>1</v>
      </c>
      <c r="F49" s="54" t="s">
        <v>1</v>
      </c>
      <c r="G49" s="93">
        <v>437</v>
      </c>
      <c r="H49" s="50">
        <v>0</v>
      </c>
      <c r="I49" s="51">
        <f t="shared" ref="I49:I53" si="20">$B$2</f>
        <v>0</v>
      </c>
      <c r="J49" s="94">
        <f t="shared" ref="J49:J53" si="21">G49*(1-I49)</f>
        <v>437</v>
      </c>
      <c r="K49" s="37">
        <f t="shared" ref="K49:K53" si="22">J49*H49</f>
        <v>0</v>
      </c>
      <c r="L49" s="72">
        <f>893*743*305/1000000000</f>
        <v>0.202367195</v>
      </c>
      <c r="M49" s="85">
        <v>27</v>
      </c>
    </row>
    <row r="50" spans="1:13" s="18" customFormat="1" ht="15.75">
      <c r="A50" s="26" t="s">
        <v>80</v>
      </c>
      <c r="B50" s="54" t="s">
        <v>1</v>
      </c>
      <c r="C50" s="83">
        <v>3.5</v>
      </c>
      <c r="D50" s="83">
        <v>3.85</v>
      </c>
      <c r="E50" s="54" t="s">
        <v>1</v>
      </c>
      <c r="F50" s="54" t="s">
        <v>1</v>
      </c>
      <c r="G50" s="93">
        <v>458.01839999999993</v>
      </c>
      <c r="H50" s="50">
        <v>0</v>
      </c>
      <c r="I50" s="51">
        <f t="shared" si="20"/>
        <v>0</v>
      </c>
      <c r="J50" s="94">
        <f t="shared" si="21"/>
        <v>458.01839999999993</v>
      </c>
      <c r="K50" s="37">
        <f t="shared" si="22"/>
        <v>0</v>
      </c>
      <c r="L50" s="72">
        <f>893*743*305/1000000000</f>
        <v>0.202367195</v>
      </c>
      <c r="M50" s="85">
        <v>29</v>
      </c>
    </row>
    <row r="51" spans="1:13" ht="15.75">
      <c r="A51" s="26" t="s">
        <v>81</v>
      </c>
      <c r="B51" s="54" t="s">
        <v>1</v>
      </c>
      <c r="C51" s="83">
        <v>5</v>
      </c>
      <c r="D51" s="83">
        <v>5.5</v>
      </c>
      <c r="E51" s="54" t="s">
        <v>1</v>
      </c>
      <c r="F51" s="54" t="s">
        <v>1</v>
      </c>
      <c r="G51" s="93">
        <v>559</v>
      </c>
      <c r="H51" s="50">
        <v>0</v>
      </c>
      <c r="I51" s="51">
        <f t="shared" si="20"/>
        <v>0</v>
      </c>
      <c r="J51" s="94">
        <f t="shared" si="21"/>
        <v>559</v>
      </c>
      <c r="K51" s="37">
        <f t="shared" si="22"/>
        <v>0</v>
      </c>
      <c r="L51" s="72">
        <f>1123*743*305/1000000000</f>
        <v>0.25448864500000001</v>
      </c>
      <c r="M51" s="85">
        <v>36</v>
      </c>
    </row>
    <row r="52" spans="1:13" ht="15.75">
      <c r="A52" s="26" t="s">
        <v>82</v>
      </c>
      <c r="B52" s="54" t="s">
        <v>1</v>
      </c>
      <c r="C52" s="83">
        <v>6</v>
      </c>
      <c r="D52" s="83">
        <v>6.6</v>
      </c>
      <c r="E52" s="54" t="s">
        <v>1</v>
      </c>
      <c r="F52" s="54" t="s">
        <v>1</v>
      </c>
      <c r="G52" s="93">
        <v>621</v>
      </c>
      <c r="H52" s="50">
        <v>0</v>
      </c>
      <c r="I52" s="51">
        <f t="shared" si="20"/>
        <v>0</v>
      </c>
      <c r="J52" s="94">
        <f t="shared" si="21"/>
        <v>621</v>
      </c>
      <c r="K52" s="37">
        <f t="shared" si="22"/>
        <v>0</v>
      </c>
      <c r="L52" s="72">
        <f>1323*743*205/1000000000</f>
        <v>0.20151274499999999</v>
      </c>
      <c r="M52" s="85">
        <v>41</v>
      </c>
    </row>
    <row r="53" spans="1:13" ht="15.75">
      <c r="A53" s="26" t="s">
        <v>83</v>
      </c>
      <c r="B53" s="54" t="s">
        <v>1</v>
      </c>
      <c r="C53" s="83">
        <v>7.1</v>
      </c>
      <c r="D53" s="83">
        <v>8</v>
      </c>
      <c r="E53" s="54" t="s">
        <v>1</v>
      </c>
      <c r="F53" s="54" t="s">
        <v>1</v>
      </c>
      <c r="G53" s="93">
        <v>638</v>
      </c>
      <c r="H53" s="50">
        <v>0</v>
      </c>
      <c r="I53" s="51">
        <f t="shared" si="20"/>
        <v>0</v>
      </c>
      <c r="J53" s="94">
        <f t="shared" si="21"/>
        <v>638</v>
      </c>
      <c r="K53" s="37">
        <f t="shared" si="22"/>
        <v>0</v>
      </c>
      <c r="L53" s="72">
        <f>1323*743*205/1000000000</f>
        <v>0.20151274499999999</v>
      </c>
      <c r="M53" s="85">
        <v>41</v>
      </c>
    </row>
    <row r="54" spans="1:13" s="18" customFormat="1" ht="73.5" customHeight="1">
      <c r="A54" s="191" t="s">
        <v>236</v>
      </c>
      <c r="B54" s="192"/>
      <c r="C54" s="193"/>
      <c r="D54" s="187"/>
      <c r="E54" s="187"/>
      <c r="F54" s="187"/>
      <c r="G54" s="187"/>
      <c r="H54" s="187"/>
      <c r="I54" s="187"/>
      <c r="J54" s="187"/>
      <c r="K54" s="187"/>
      <c r="L54" s="187"/>
      <c r="M54" s="187"/>
    </row>
    <row r="55" spans="1:13" ht="15.75">
      <c r="A55" s="26" t="s">
        <v>84</v>
      </c>
      <c r="B55" s="54" t="s">
        <v>1</v>
      </c>
      <c r="C55" s="53">
        <v>2.6</v>
      </c>
      <c r="D55" s="53">
        <v>2.89</v>
      </c>
      <c r="E55" s="54" t="s">
        <v>1</v>
      </c>
      <c r="F55" s="54" t="s">
        <v>1</v>
      </c>
      <c r="G55" s="93">
        <v>411.21359999999993</v>
      </c>
      <c r="H55" s="50">
        <v>0</v>
      </c>
      <c r="I55" s="51">
        <f t="shared" ref="I55:I57" si="23">$B$2</f>
        <v>0</v>
      </c>
      <c r="J55" s="94">
        <f t="shared" ref="J55:J57" si="24">G55*(1-I55)</f>
        <v>411.21359999999993</v>
      </c>
      <c r="K55" s="37">
        <f t="shared" ref="K55:K57" si="25">J55*H55</f>
        <v>0</v>
      </c>
      <c r="L55" s="72">
        <f>788*695*283/1000000000</f>
        <v>0.15498777999999999</v>
      </c>
      <c r="M55" s="85">
        <v>18</v>
      </c>
    </row>
    <row r="56" spans="1:13" ht="15.75">
      <c r="A56" s="26" t="s">
        <v>85</v>
      </c>
      <c r="B56" s="54" t="s">
        <v>1</v>
      </c>
      <c r="C56" s="53">
        <v>3.5</v>
      </c>
      <c r="D56" s="53">
        <v>3.8</v>
      </c>
      <c r="E56" s="54" t="s">
        <v>1</v>
      </c>
      <c r="F56" s="54" t="s">
        <v>1</v>
      </c>
      <c r="G56" s="93">
        <v>442</v>
      </c>
      <c r="H56" s="50">
        <v>0</v>
      </c>
      <c r="I56" s="51">
        <f t="shared" si="23"/>
        <v>0</v>
      </c>
      <c r="J56" s="94">
        <f t="shared" si="24"/>
        <v>442</v>
      </c>
      <c r="K56" s="37">
        <f t="shared" si="25"/>
        <v>0</v>
      </c>
      <c r="L56" s="72">
        <f>788*695*283/1000000000</f>
        <v>0.15498777999999999</v>
      </c>
      <c r="M56" s="85">
        <v>18</v>
      </c>
    </row>
    <row r="57" spans="1:13" ht="15.75">
      <c r="A57" s="26" t="s">
        <v>86</v>
      </c>
      <c r="B57" s="54" t="s">
        <v>1</v>
      </c>
      <c r="C57" s="53">
        <v>5.3</v>
      </c>
      <c r="D57" s="53">
        <v>5.8</v>
      </c>
      <c r="E57" s="54" t="s">
        <v>1</v>
      </c>
      <c r="F57" s="54" t="s">
        <v>1</v>
      </c>
      <c r="G57" s="93">
        <v>566</v>
      </c>
      <c r="H57" s="50">
        <v>0</v>
      </c>
      <c r="I57" s="51">
        <f t="shared" si="23"/>
        <v>0</v>
      </c>
      <c r="J57" s="94">
        <f t="shared" si="24"/>
        <v>566</v>
      </c>
      <c r="K57" s="37">
        <f t="shared" si="25"/>
        <v>0</v>
      </c>
      <c r="L57" s="72">
        <f>788*695*283/1000000000</f>
        <v>0.15498777999999999</v>
      </c>
      <c r="M57" s="85">
        <v>18</v>
      </c>
    </row>
    <row r="58" spans="1:13">
      <c r="J58" s="35"/>
    </row>
    <row r="59" spans="1:13">
      <c r="J59" s="35"/>
      <c r="K59" s="18"/>
    </row>
    <row r="60" spans="1:13">
      <c r="J60" s="35"/>
      <c r="K60" s="18"/>
    </row>
    <row r="61" spans="1:13">
      <c r="J61" s="35"/>
      <c r="K61" s="18"/>
    </row>
    <row r="62" spans="1:13">
      <c r="J62" s="35"/>
      <c r="K62" s="18"/>
    </row>
    <row r="63" spans="1:13">
      <c r="J63" s="35"/>
      <c r="K63" s="18"/>
    </row>
    <row r="64" spans="1:13">
      <c r="J64" s="35"/>
    </row>
    <row r="65" spans="10:11">
      <c r="J65" s="35"/>
    </row>
    <row r="66" spans="10:11">
      <c r="J66" s="35"/>
    </row>
    <row r="67" spans="10:11">
      <c r="J67" s="35"/>
      <c r="K67" s="18"/>
    </row>
    <row r="68" spans="10:11">
      <c r="J68" s="35"/>
    </row>
  </sheetData>
  <protectedRanges>
    <protectedRange sqref="L15" name="区域1"/>
    <protectedRange sqref="M15" name="区域1_1"/>
    <protectedRange sqref="J9" name="区域1_2"/>
    <protectedRange sqref="L31" name="区域1_4"/>
    <protectedRange sqref="M31" name="区域1_4_1"/>
  </protectedRanges>
  <mergeCells count="70">
    <mergeCell ref="A6:M6"/>
    <mergeCell ref="A7:A8"/>
    <mergeCell ref="C7:D7"/>
    <mergeCell ref="E7:F7"/>
    <mergeCell ref="G7:G8"/>
    <mergeCell ref="H7:H8"/>
    <mergeCell ref="I7:I8"/>
    <mergeCell ref="J7:J8"/>
    <mergeCell ref="K7:K8"/>
    <mergeCell ref="L7:L8"/>
    <mergeCell ref="M7:M8"/>
    <mergeCell ref="A9:C9"/>
    <mergeCell ref="D9:M9"/>
    <mergeCell ref="A17:C17"/>
    <mergeCell ref="A23:C23"/>
    <mergeCell ref="A36:C36"/>
    <mergeCell ref="A37:A38"/>
    <mergeCell ref="C37:C38"/>
    <mergeCell ref="D37:D38"/>
    <mergeCell ref="E37:E38"/>
    <mergeCell ref="D36:M36"/>
    <mergeCell ref="G37:G38"/>
    <mergeCell ref="I37:I38"/>
    <mergeCell ref="J37:J38"/>
    <mergeCell ref="K37:K38"/>
    <mergeCell ref="F37:F38"/>
    <mergeCell ref="A39:A40"/>
    <mergeCell ref="C39:C40"/>
    <mergeCell ref="D39:D40"/>
    <mergeCell ref="E39:E40"/>
    <mergeCell ref="F39:F40"/>
    <mergeCell ref="B5:C5"/>
    <mergeCell ref="E5:I5"/>
    <mergeCell ref="J5:M5"/>
    <mergeCell ref="A48:C48"/>
    <mergeCell ref="A54:C54"/>
    <mergeCell ref="D17:M17"/>
    <mergeCell ref="D23:M23"/>
    <mergeCell ref="D30:M30"/>
    <mergeCell ref="G41:G42"/>
    <mergeCell ref="I41:I42"/>
    <mergeCell ref="J41:J42"/>
    <mergeCell ref="K41:K42"/>
    <mergeCell ref="A43:C43"/>
    <mergeCell ref="D43:M43"/>
    <mergeCell ref="G39:G40"/>
    <mergeCell ref="I39:I40"/>
    <mergeCell ref="G2:I2"/>
    <mergeCell ref="K2:L2"/>
    <mergeCell ref="A4:C4"/>
    <mergeCell ref="E4:I4"/>
    <mergeCell ref="J4:M4"/>
    <mergeCell ref="C2:D2"/>
    <mergeCell ref="E2:F2"/>
    <mergeCell ref="D48:M48"/>
    <mergeCell ref="D54:M54"/>
    <mergeCell ref="C24:F24"/>
    <mergeCell ref="C25:F25"/>
    <mergeCell ref="C26:F26"/>
    <mergeCell ref="C27:F27"/>
    <mergeCell ref="C28:F28"/>
    <mergeCell ref="C29:F29"/>
    <mergeCell ref="A30:C30"/>
    <mergeCell ref="J39:J40"/>
    <mergeCell ref="K39:K40"/>
    <mergeCell ref="A41:A42"/>
    <mergeCell ref="C41:C42"/>
    <mergeCell ref="D41:D42"/>
    <mergeCell ref="E41:E42"/>
    <mergeCell ref="F41:F42"/>
  </mergeCells>
  <pageMargins left="0.23622047244094491" right="0.23622047244094491" top="0.74803149606299213" bottom="0.74803149606299213" header="0.31496062992125984" footer="0.31496062992125984"/>
  <pageSetup paperSize="8" scale="75" fitToHeight="2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71635"/>
    <pageSetUpPr fitToPage="1"/>
  </sheetPr>
  <dimension ref="A1:M114"/>
  <sheetViews>
    <sheetView topLeftCell="A12" zoomScale="90" zoomScaleNormal="90" workbookViewId="0">
      <pane xSplit="1" topLeftCell="B1" activePane="topRight" state="frozen"/>
      <selection pane="topRight" activeCell="N36" sqref="N36:O36"/>
    </sheetView>
  </sheetViews>
  <sheetFormatPr defaultRowHeight="15"/>
  <cols>
    <col min="1" max="1" width="46.140625" style="2" bestFit="1" customWidth="1"/>
    <col min="2" max="2" width="26.7109375" style="2" bestFit="1" customWidth="1"/>
    <col min="3" max="4" width="10" style="2" customWidth="1"/>
    <col min="5" max="5" width="11" style="2" customWidth="1"/>
    <col min="6" max="6" width="13.5703125" style="3" customWidth="1"/>
    <col min="7" max="7" width="15" style="3" bestFit="1" customWidth="1"/>
    <col min="8" max="8" width="9.140625" style="3"/>
    <col min="9" max="9" width="10.7109375" style="3" customWidth="1"/>
    <col min="10" max="10" width="15.85546875" style="3" customWidth="1"/>
    <col min="11" max="11" width="14.7109375" style="3" customWidth="1"/>
    <col min="12" max="16384" width="9.140625" style="3"/>
  </cols>
  <sheetData>
    <row r="1" spans="1:13" ht="162" customHeight="1">
      <c r="A1" s="1"/>
      <c r="B1" s="24"/>
      <c r="C1" s="1"/>
      <c r="D1" s="5"/>
      <c r="E1" s="1"/>
      <c r="F1" s="1"/>
      <c r="G1" s="5"/>
      <c r="H1" s="5"/>
      <c r="I1" s="5"/>
      <c r="J1" s="5"/>
      <c r="K1" s="5"/>
      <c r="L1" s="1"/>
      <c r="M1" s="1"/>
    </row>
    <row r="2" spans="1:13" s="64" customFormat="1" ht="22.5" customHeight="1">
      <c r="A2" s="56" t="s">
        <v>189</v>
      </c>
      <c r="B2" s="69">
        <v>0</v>
      </c>
      <c r="C2" s="211" t="s">
        <v>365</v>
      </c>
      <c r="D2" s="211"/>
      <c r="E2" s="211"/>
      <c r="F2" s="166">
        <f>SUM(K11,K14:K40,K42:K61,K63:K82,K84:K91)</f>
        <v>0</v>
      </c>
      <c r="G2" s="166"/>
      <c r="H2" s="168" t="s">
        <v>366</v>
      </c>
      <c r="I2" s="168"/>
      <c r="J2" s="71">
        <f>SUMPRODUCT(H11:H12,L11:L12)+SUMPRODUCT(H14:H40,L14:L40)+SUMPRODUCT(H42:H61,L42:L61)+SUMPRODUCT(H63:H82,L63:L82)+SUMPRODUCT(H84:H91,L84:L91)</f>
        <v>0</v>
      </c>
      <c r="K2" s="168" t="s">
        <v>367</v>
      </c>
      <c r="L2" s="168"/>
      <c r="M2" s="71">
        <f>SUMPRODUCT(H11:H12,M11:M12)+SUMPRODUCT(H14:H40,M14:M40)+SUMPRODUCT(H42:H61,M42:M61)+SUMPRODUCT(H63:H82,M63:M82)+SUMPRODUCT(H84:H91,M84:M91)</f>
        <v>0</v>
      </c>
    </row>
    <row r="3" spans="1:13" s="64" customFormat="1" ht="12.75" customHeight="1">
      <c r="A3" s="57"/>
      <c r="B3" s="58"/>
      <c r="C3" s="57"/>
      <c r="D3" s="57"/>
      <c r="E3" s="59"/>
      <c r="F3" s="60"/>
      <c r="G3" s="60"/>
      <c r="H3" s="60"/>
      <c r="I3" s="60"/>
      <c r="J3" s="61"/>
      <c r="K3" s="60"/>
      <c r="L3" s="60"/>
      <c r="M3" s="61"/>
    </row>
    <row r="4" spans="1:13" s="64" customFormat="1" ht="24" customHeight="1">
      <c r="A4" s="157" t="s">
        <v>368</v>
      </c>
      <c r="B4" s="158"/>
      <c r="C4" s="159"/>
      <c r="D4" s="62" t="s">
        <v>369</v>
      </c>
      <c r="E4" s="160"/>
      <c r="F4" s="160"/>
      <c r="G4" s="160"/>
      <c r="H4" s="160"/>
      <c r="I4" s="161"/>
      <c r="J4" s="164" t="s">
        <v>370</v>
      </c>
      <c r="K4" s="165"/>
      <c r="L4" s="165"/>
      <c r="M4" s="165"/>
    </row>
    <row r="5" spans="1:13" s="64" customFormat="1" ht="21.75" customHeight="1">
      <c r="A5" s="63" t="s">
        <v>371</v>
      </c>
      <c r="B5" s="162"/>
      <c r="C5" s="163"/>
      <c r="D5" s="62" t="s">
        <v>372</v>
      </c>
      <c r="E5" s="160"/>
      <c r="F5" s="160"/>
      <c r="G5" s="160"/>
      <c r="H5" s="160"/>
      <c r="I5" s="161"/>
      <c r="J5" s="164" t="s">
        <v>373</v>
      </c>
      <c r="K5" s="165"/>
      <c r="L5" s="165"/>
      <c r="M5" s="165"/>
    </row>
    <row r="6" spans="1:13" ht="21">
      <c r="A6" s="116" t="s">
        <v>449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</row>
    <row r="7" spans="1:13" ht="27.75" customHeight="1">
      <c r="A7" s="203" t="s">
        <v>190</v>
      </c>
      <c r="B7" s="38" t="s">
        <v>204</v>
      </c>
      <c r="C7" s="221" t="s">
        <v>191</v>
      </c>
      <c r="D7" s="222"/>
      <c r="E7" s="221" t="s">
        <v>192</v>
      </c>
      <c r="F7" s="222"/>
      <c r="G7" s="205" t="s">
        <v>203</v>
      </c>
      <c r="H7" s="205" t="s">
        <v>193</v>
      </c>
      <c r="I7" s="205" t="s">
        <v>189</v>
      </c>
      <c r="J7" s="207" t="s">
        <v>194</v>
      </c>
      <c r="K7" s="205" t="s">
        <v>195</v>
      </c>
      <c r="L7" s="205" t="s">
        <v>196</v>
      </c>
      <c r="M7" s="205" t="s">
        <v>197</v>
      </c>
    </row>
    <row r="8" spans="1:13" ht="27.75" customHeight="1">
      <c r="A8" s="203"/>
      <c r="B8" s="38" t="s">
        <v>198</v>
      </c>
      <c r="C8" s="223"/>
      <c r="D8" s="224"/>
      <c r="E8" s="223"/>
      <c r="F8" s="224"/>
      <c r="G8" s="205"/>
      <c r="H8" s="205"/>
      <c r="I8" s="205"/>
      <c r="J8" s="207"/>
      <c r="K8" s="205"/>
      <c r="L8" s="205"/>
      <c r="M8" s="205"/>
    </row>
    <row r="9" spans="1:13" ht="30.75" customHeight="1">
      <c r="A9" s="204"/>
      <c r="B9" s="84" t="s">
        <v>220</v>
      </c>
      <c r="C9" s="75" t="s">
        <v>199</v>
      </c>
      <c r="D9" s="75" t="s">
        <v>200</v>
      </c>
      <c r="E9" s="75" t="s">
        <v>201</v>
      </c>
      <c r="F9" s="75" t="s">
        <v>202</v>
      </c>
      <c r="G9" s="206"/>
      <c r="H9" s="206"/>
      <c r="I9" s="206"/>
      <c r="J9" s="208"/>
      <c r="K9" s="206"/>
      <c r="L9" s="206"/>
      <c r="M9" s="206"/>
    </row>
    <row r="10" spans="1:13" ht="90" customHeight="1">
      <c r="A10" s="209" t="s">
        <v>448</v>
      </c>
      <c r="B10" s="209"/>
      <c r="C10" s="209"/>
      <c r="D10" s="210"/>
      <c r="E10" s="210"/>
      <c r="F10" s="210"/>
      <c r="G10" s="210"/>
      <c r="H10" s="210"/>
      <c r="I10" s="210"/>
      <c r="J10" s="210"/>
      <c r="K10" s="210"/>
      <c r="L10" s="210"/>
      <c r="M10" s="210"/>
    </row>
    <row r="11" spans="1:13">
      <c r="A11" s="153" t="s">
        <v>158</v>
      </c>
      <c r="B11" s="25" t="s">
        <v>268</v>
      </c>
      <c r="C11" s="213" t="s">
        <v>450</v>
      </c>
      <c r="D11" s="213" t="s">
        <v>451</v>
      </c>
      <c r="E11" s="215" t="s">
        <v>452</v>
      </c>
      <c r="F11" s="215" t="s">
        <v>453</v>
      </c>
      <c r="G11" s="198">
        <v>2290.0919999999996</v>
      </c>
      <c r="H11" s="47">
        <v>0</v>
      </c>
      <c r="I11" s="181">
        <f>$B$2</f>
        <v>0</v>
      </c>
      <c r="J11" s="194">
        <f>G11*(1-I11)</f>
        <v>2290.0919999999996</v>
      </c>
      <c r="K11" s="212">
        <f>J11*H11</f>
        <v>0</v>
      </c>
      <c r="L11" s="72">
        <f>583*1828*530/1000000000</f>
        <v>0.56483371999999998</v>
      </c>
      <c r="M11" s="85">
        <v>67</v>
      </c>
    </row>
    <row r="12" spans="1:13">
      <c r="A12" s="153"/>
      <c r="B12" s="25" t="s">
        <v>284</v>
      </c>
      <c r="C12" s="214"/>
      <c r="D12" s="214"/>
      <c r="E12" s="215"/>
      <c r="F12" s="215"/>
      <c r="G12" s="198"/>
      <c r="H12" s="50">
        <f>H11</f>
        <v>0</v>
      </c>
      <c r="I12" s="181"/>
      <c r="J12" s="194"/>
      <c r="K12" s="212"/>
      <c r="L12" s="72">
        <f>1029*738*470/1000000000</f>
        <v>0.35691894000000002</v>
      </c>
      <c r="M12" s="85">
        <v>63</v>
      </c>
    </row>
    <row r="13" spans="1:13" ht="73.5" customHeight="1">
      <c r="A13" s="209" t="s">
        <v>237</v>
      </c>
      <c r="B13" s="209"/>
      <c r="C13" s="209"/>
      <c r="D13" s="225"/>
      <c r="E13" s="225"/>
      <c r="F13" s="225"/>
      <c r="G13" s="225"/>
      <c r="H13" s="225"/>
      <c r="I13" s="225"/>
      <c r="J13" s="225"/>
      <c r="K13" s="225"/>
      <c r="L13" s="225"/>
      <c r="M13" s="225"/>
    </row>
    <row r="14" spans="1:13" ht="15" customHeight="1">
      <c r="A14" s="153" t="s">
        <v>24</v>
      </c>
      <c r="B14" s="25" t="s">
        <v>238</v>
      </c>
      <c r="C14" s="219">
        <v>3.5</v>
      </c>
      <c r="D14" s="219">
        <v>3.6</v>
      </c>
      <c r="E14" s="220" t="s">
        <v>454</v>
      </c>
      <c r="F14" s="220" t="s">
        <v>461</v>
      </c>
      <c r="G14" s="216">
        <v>1109.9423999999999</v>
      </c>
      <c r="H14" s="55">
        <v>0</v>
      </c>
      <c r="I14" s="217">
        <f>$B$2</f>
        <v>0</v>
      </c>
      <c r="J14" s="194">
        <f>G14*(1-I14)</f>
        <v>1109.9423999999999</v>
      </c>
      <c r="K14" s="218">
        <f>H14*J14</f>
        <v>0</v>
      </c>
      <c r="L14" s="72">
        <f>851*325*681/1000000000</f>
        <v>0.18834757499999999</v>
      </c>
      <c r="M14" s="85">
        <v>27</v>
      </c>
    </row>
    <row r="15" spans="1:13" ht="15" customHeight="1">
      <c r="A15" s="153"/>
      <c r="B15" s="25" t="s">
        <v>269</v>
      </c>
      <c r="C15" s="219"/>
      <c r="D15" s="219"/>
      <c r="E15" s="220"/>
      <c r="F15" s="220"/>
      <c r="G15" s="216"/>
      <c r="H15" s="55">
        <f>H14</f>
        <v>0</v>
      </c>
      <c r="I15" s="217"/>
      <c r="J15" s="194"/>
      <c r="K15" s="218"/>
      <c r="L15" s="72">
        <f>873*605*363/1000000000</f>
        <v>0.19172389500000001</v>
      </c>
      <c r="M15" s="85">
        <v>37</v>
      </c>
    </row>
    <row r="16" spans="1:13" ht="15" customHeight="1">
      <c r="A16" s="153"/>
      <c r="B16" s="25" t="s">
        <v>285</v>
      </c>
      <c r="C16" s="219"/>
      <c r="D16" s="219"/>
      <c r="E16" s="220"/>
      <c r="F16" s="220"/>
      <c r="G16" s="216"/>
      <c r="H16" s="55">
        <f>H14</f>
        <v>0</v>
      </c>
      <c r="I16" s="217"/>
      <c r="J16" s="194"/>
      <c r="K16" s="218"/>
      <c r="L16" s="72">
        <f>733*117*673/1000000000</f>
        <v>5.7717153E-2</v>
      </c>
      <c r="M16" s="85">
        <v>3.5</v>
      </c>
    </row>
    <row r="17" spans="1:13" ht="15.75" customHeight="1">
      <c r="A17" s="153" t="s">
        <v>25</v>
      </c>
      <c r="B17" s="25" t="s">
        <v>239</v>
      </c>
      <c r="C17" s="219">
        <v>5</v>
      </c>
      <c r="D17" s="219">
        <v>5.4</v>
      </c>
      <c r="E17" s="220" t="s">
        <v>455</v>
      </c>
      <c r="F17" s="220" t="s">
        <v>462</v>
      </c>
      <c r="G17" s="216">
        <v>1239</v>
      </c>
      <c r="H17" s="55">
        <v>0</v>
      </c>
      <c r="I17" s="217">
        <f t="shared" ref="I17" si="0">$B$2</f>
        <v>0</v>
      </c>
      <c r="J17" s="194">
        <f t="shared" ref="J17" si="1">G17*(1-I17)</f>
        <v>1239</v>
      </c>
      <c r="K17" s="218">
        <f t="shared" ref="K17" si="2">H17*J17</f>
        <v>0</v>
      </c>
      <c r="L17" s="72">
        <f>851*325*681/1000000000</f>
        <v>0.18834757499999999</v>
      </c>
      <c r="M17" s="85">
        <v>27</v>
      </c>
    </row>
    <row r="18" spans="1:13" ht="15" customHeight="1">
      <c r="A18" s="153"/>
      <c r="B18" s="25" t="s">
        <v>270</v>
      </c>
      <c r="C18" s="219"/>
      <c r="D18" s="219"/>
      <c r="E18" s="220"/>
      <c r="F18" s="220"/>
      <c r="G18" s="216"/>
      <c r="H18" s="55">
        <f t="shared" ref="H18" si="3">H17</f>
        <v>0</v>
      </c>
      <c r="I18" s="217"/>
      <c r="J18" s="194"/>
      <c r="K18" s="218"/>
      <c r="L18" s="72">
        <f>873*605*363/1000000000</f>
        <v>0.19172389500000001</v>
      </c>
      <c r="M18" s="85">
        <v>45</v>
      </c>
    </row>
    <row r="19" spans="1:13" ht="15" customHeight="1">
      <c r="A19" s="153"/>
      <c r="B19" s="25" t="s">
        <v>285</v>
      </c>
      <c r="C19" s="219"/>
      <c r="D19" s="219"/>
      <c r="E19" s="220"/>
      <c r="F19" s="220"/>
      <c r="G19" s="216"/>
      <c r="H19" s="55">
        <f t="shared" ref="H19" si="4">H17</f>
        <v>0</v>
      </c>
      <c r="I19" s="217"/>
      <c r="J19" s="194"/>
      <c r="K19" s="218"/>
      <c r="L19" s="72">
        <f>733*117*673/1000000000</f>
        <v>5.7717153E-2</v>
      </c>
      <c r="M19" s="85">
        <v>3.5</v>
      </c>
    </row>
    <row r="20" spans="1:13" ht="15" customHeight="1">
      <c r="A20" s="153" t="s">
        <v>26</v>
      </c>
      <c r="B20" s="25" t="s">
        <v>240</v>
      </c>
      <c r="C20" s="219">
        <v>6.8</v>
      </c>
      <c r="D20" s="219">
        <v>7.5</v>
      </c>
      <c r="E20" s="220" t="s">
        <v>456</v>
      </c>
      <c r="F20" s="220" t="s">
        <v>463</v>
      </c>
      <c r="G20" s="216">
        <v>1707</v>
      </c>
      <c r="H20" s="55">
        <v>0</v>
      </c>
      <c r="I20" s="217">
        <f t="shared" ref="I20" si="5">$B$2</f>
        <v>0</v>
      </c>
      <c r="J20" s="194">
        <f t="shared" ref="J20" si="6">G20*(1-I20)</f>
        <v>1707</v>
      </c>
      <c r="K20" s="218">
        <f t="shared" ref="K20" si="7">H20*J20</f>
        <v>0</v>
      </c>
      <c r="L20" s="72">
        <f>963*325*963/1000000000</f>
        <v>0.30139492499999998</v>
      </c>
      <c r="M20" s="85">
        <v>36</v>
      </c>
    </row>
    <row r="21" spans="1:13" ht="15" customHeight="1">
      <c r="A21" s="153"/>
      <c r="B21" s="25" t="s">
        <v>271</v>
      </c>
      <c r="C21" s="219"/>
      <c r="D21" s="219"/>
      <c r="E21" s="220"/>
      <c r="F21" s="220"/>
      <c r="G21" s="216"/>
      <c r="H21" s="55">
        <f t="shared" ref="H21" si="8">H20</f>
        <v>0</v>
      </c>
      <c r="I21" s="217"/>
      <c r="J21" s="194"/>
      <c r="K21" s="218"/>
      <c r="L21" s="72">
        <f>1103*770*453/1000000000</f>
        <v>0.38473742999999999</v>
      </c>
      <c r="M21" s="85">
        <v>64</v>
      </c>
    </row>
    <row r="22" spans="1:13" ht="15" customHeight="1">
      <c r="A22" s="153" t="s">
        <v>160</v>
      </c>
      <c r="B22" s="25" t="s">
        <v>286</v>
      </c>
      <c r="C22" s="219"/>
      <c r="D22" s="219"/>
      <c r="E22" s="220"/>
      <c r="F22" s="220"/>
      <c r="G22" s="216"/>
      <c r="H22" s="55">
        <f t="shared" ref="H22" si="9">H20</f>
        <v>0</v>
      </c>
      <c r="I22" s="217"/>
      <c r="J22" s="194"/>
      <c r="K22" s="218"/>
      <c r="L22" s="72">
        <f>1028*130*1043/1000000000</f>
        <v>0.13938652000000001</v>
      </c>
      <c r="M22" s="85">
        <v>10</v>
      </c>
    </row>
    <row r="23" spans="1:13" ht="15" customHeight="1">
      <c r="A23" s="153" t="s">
        <v>27</v>
      </c>
      <c r="B23" s="25" t="s">
        <v>241</v>
      </c>
      <c r="C23" s="219">
        <v>8.3000000000000007</v>
      </c>
      <c r="D23" s="219">
        <v>8.8000000000000007</v>
      </c>
      <c r="E23" s="220" t="s">
        <v>457</v>
      </c>
      <c r="F23" s="220" t="s">
        <v>464</v>
      </c>
      <c r="G23" s="216">
        <v>1920</v>
      </c>
      <c r="H23" s="55">
        <v>0</v>
      </c>
      <c r="I23" s="217">
        <f t="shared" ref="I23" si="10">$B$2</f>
        <v>0</v>
      </c>
      <c r="J23" s="194">
        <f t="shared" ref="J23" si="11">G23*(1-I23)</f>
        <v>1920</v>
      </c>
      <c r="K23" s="218">
        <f t="shared" ref="K23" si="12">H23*J23</f>
        <v>0</v>
      </c>
      <c r="L23" s="72">
        <f>963*325*963/1000000000</f>
        <v>0.30139492499999998</v>
      </c>
      <c r="M23" s="85">
        <v>36</v>
      </c>
    </row>
    <row r="24" spans="1:13" ht="15" customHeight="1">
      <c r="A24" s="153"/>
      <c r="B24" s="25" t="s">
        <v>272</v>
      </c>
      <c r="C24" s="219"/>
      <c r="D24" s="219"/>
      <c r="E24" s="220"/>
      <c r="F24" s="220"/>
      <c r="G24" s="216"/>
      <c r="H24" s="55">
        <f t="shared" ref="H24" si="13">H23</f>
        <v>0</v>
      </c>
      <c r="I24" s="217"/>
      <c r="J24" s="194"/>
      <c r="K24" s="218"/>
      <c r="L24" s="72">
        <f>1083*855*488/1000000000</f>
        <v>0.45187092000000001</v>
      </c>
      <c r="M24" s="85">
        <v>75</v>
      </c>
    </row>
    <row r="25" spans="1:13" ht="15" customHeight="1">
      <c r="A25" s="153"/>
      <c r="B25" s="25" t="s">
        <v>286</v>
      </c>
      <c r="C25" s="219"/>
      <c r="D25" s="219"/>
      <c r="E25" s="220"/>
      <c r="F25" s="220"/>
      <c r="G25" s="216"/>
      <c r="H25" s="55">
        <f t="shared" ref="H25" si="14">H23</f>
        <v>0</v>
      </c>
      <c r="I25" s="217"/>
      <c r="J25" s="194"/>
      <c r="K25" s="218"/>
      <c r="L25" s="72">
        <f>1028*130*1043/1000000000</f>
        <v>0.13938652000000001</v>
      </c>
      <c r="M25" s="85">
        <v>10</v>
      </c>
    </row>
    <row r="26" spans="1:13" ht="15" customHeight="1">
      <c r="A26" s="153" t="s">
        <v>28</v>
      </c>
      <c r="B26" s="25" t="s">
        <v>242</v>
      </c>
      <c r="C26" s="219">
        <v>10</v>
      </c>
      <c r="D26" s="219">
        <v>11</v>
      </c>
      <c r="E26" s="220" t="s">
        <v>458</v>
      </c>
      <c r="F26" s="220" t="s">
        <v>465</v>
      </c>
      <c r="G26" s="216">
        <v>2363.6423999999997</v>
      </c>
      <c r="H26" s="55">
        <v>0</v>
      </c>
      <c r="I26" s="217">
        <f t="shared" ref="I26" si="15">$B$2</f>
        <v>0</v>
      </c>
      <c r="J26" s="194">
        <f t="shared" ref="J26" si="16">G26*(1-I26)</f>
        <v>2363.6423999999997</v>
      </c>
      <c r="K26" s="218">
        <f t="shared" ref="K26" si="17">H26*J26</f>
        <v>0</v>
      </c>
      <c r="L26" s="72">
        <f>963*409*963/1000000000</f>
        <v>0.37929392099999998</v>
      </c>
      <c r="M26" s="85">
        <v>43</v>
      </c>
    </row>
    <row r="27" spans="1:13" ht="15" customHeight="1">
      <c r="A27" s="153"/>
      <c r="B27" s="25" t="s">
        <v>273</v>
      </c>
      <c r="C27" s="219"/>
      <c r="D27" s="219"/>
      <c r="E27" s="220"/>
      <c r="F27" s="220"/>
      <c r="G27" s="216"/>
      <c r="H27" s="55">
        <f t="shared" ref="H27" si="18">H26</f>
        <v>0</v>
      </c>
      <c r="I27" s="217"/>
      <c r="J27" s="194"/>
      <c r="K27" s="218"/>
      <c r="L27" s="72">
        <f>1103*1000*453/1000000000</f>
        <v>0.49965900000000002</v>
      </c>
      <c r="M27" s="85">
        <v>100</v>
      </c>
    </row>
    <row r="28" spans="1:13" ht="15" customHeight="1">
      <c r="A28" s="153"/>
      <c r="B28" s="25" t="s">
        <v>286</v>
      </c>
      <c r="C28" s="219"/>
      <c r="D28" s="219"/>
      <c r="E28" s="220"/>
      <c r="F28" s="220"/>
      <c r="G28" s="216"/>
      <c r="H28" s="55">
        <f t="shared" ref="H28" si="19">H26</f>
        <v>0</v>
      </c>
      <c r="I28" s="217"/>
      <c r="J28" s="194"/>
      <c r="K28" s="218"/>
      <c r="L28" s="72">
        <f>1028*130*1043/1000000000</f>
        <v>0.13938652000000001</v>
      </c>
      <c r="M28" s="85">
        <v>10</v>
      </c>
    </row>
    <row r="29" spans="1:13" ht="15" customHeight="1">
      <c r="A29" s="153" t="s">
        <v>29</v>
      </c>
      <c r="B29" s="25" t="s">
        <v>242</v>
      </c>
      <c r="C29" s="219">
        <v>10</v>
      </c>
      <c r="D29" s="219">
        <v>11</v>
      </c>
      <c r="E29" s="220" t="s">
        <v>458</v>
      </c>
      <c r="F29" s="220" t="s">
        <v>466</v>
      </c>
      <c r="G29" s="216">
        <v>2390.3879999999995</v>
      </c>
      <c r="H29" s="55">
        <v>0</v>
      </c>
      <c r="I29" s="217">
        <f t="shared" ref="I29" si="20">$B$2</f>
        <v>0</v>
      </c>
      <c r="J29" s="194">
        <f t="shared" ref="J29" si="21">G29*(1-I29)</f>
        <v>2390.3879999999995</v>
      </c>
      <c r="K29" s="218">
        <f t="shared" ref="K29" si="22">H29*J29</f>
        <v>0</v>
      </c>
      <c r="L29" s="72">
        <f>963*409*963/1000000000</f>
        <v>0.37929392099999998</v>
      </c>
      <c r="M29" s="85">
        <v>43</v>
      </c>
    </row>
    <row r="30" spans="1:13" ht="15" customHeight="1">
      <c r="A30" s="153"/>
      <c r="B30" s="25" t="s">
        <v>274</v>
      </c>
      <c r="C30" s="219"/>
      <c r="D30" s="219"/>
      <c r="E30" s="220"/>
      <c r="F30" s="220"/>
      <c r="G30" s="216"/>
      <c r="H30" s="55">
        <f t="shared" ref="H30" si="23">H29</f>
        <v>0</v>
      </c>
      <c r="I30" s="217"/>
      <c r="J30" s="194"/>
      <c r="K30" s="218"/>
      <c r="L30" s="72">
        <f>1103*1000*453/1000000000</f>
        <v>0.49965900000000002</v>
      </c>
      <c r="M30" s="85">
        <v>100</v>
      </c>
    </row>
    <row r="31" spans="1:13" ht="15" customHeight="1">
      <c r="A31" s="153"/>
      <c r="B31" s="25" t="s">
        <v>286</v>
      </c>
      <c r="C31" s="219"/>
      <c r="D31" s="219"/>
      <c r="E31" s="220"/>
      <c r="F31" s="220"/>
      <c r="G31" s="216"/>
      <c r="H31" s="55">
        <f t="shared" ref="H31" si="24">H29</f>
        <v>0</v>
      </c>
      <c r="I31" s="217"/>
      <c r="J31" s="194"/>
      <c r="K31" s="218"/>
      <c r="L31" s="72">
        <f>1028*130*1043/1000000000</f>
        <v>0.13938652000000001</v>
      </c>
      <c r="M31" s="85">
        <v>10</v>
      </c>
    </row>
    <row r="32" spans="1:13" ht="15" customHeight="1">
      <c r="A32" s="153" t="s">
        <v>30</v>
      </c>
      <c r="B32" s="25" t="s">
        <v>243</v>
      </c>
      <c r="C32" s="219">
        <v>12</v>
      </c>
      <c r="D32" s="219">
        <v>14</v>
      </c>
      <c r="E32" s="220" t="s">
        <v>455</v>
      </c>
      <c r="F32" s="220" t="s">
        <v>467</v>
      </c>
      <c r="G32" s="216">
        <v>2524.116</v>
      </c>
      <c r="H32" s="55">
        <v>0</v>
      </c>
      <c r="I32" s="217">
        <f t="shared" ref="I32" si="25">$B$2</f>
        <v>0</v>
      </c>
      <c r="J32" s="194">
        <f t="shared" ref="J32" si="26">G32*(1-I32)</f>
        <v>2524.116</v>
      </c>
      <c r="K32" s="218">
        <f t="shared" ref="K32" si="27">H32*J32</f>
        <v>0</v>
      </c>
      <c r="L32" s="72">
        <f>963*409*963/1000000000</f>
        <v>0.37929392099999998</v>
      </c>
      <c r="M32" s="85">
        <v>43</v>
      </c>
    </row>
    <row r="33" spans="1:13" ht="15" customHeight="1">
      <c r="A33" s="153"/>
      <c r="B33" s="25" t="s">
        <v>275</v>
      </c>
      <c r="C33" s="219"/>
      <c r="D33" s="219"/>
      <c r="E33" s="220"/>
      <c r="F33" s="220"/>
      <c r="G33" s="216"/>
      <c r="H33" s="55">
        <f t="shared" ref="H33" si="28">H32</f>
        <v>0</v>
      </c>
      <c r="I33" s="217"/>
      <c r="J33" s="194"/>
      <c r="K33" s="218"/>
      <c r="L33" s="72">
        <f>1113*1400*453/1000000000</f>
        <v>0.70586459999999995</v>
      </c>
      <c r="M33" s="85">
        <v>123</v>
      </c>
    </row>
    <row r="34" spans="1:13" ht="15" customHeight="1">
      <c r="A34" s="153"/>
      <c r="B34" s="25" t="s">
        <v>286</v>
      </c>
      <c r="C34" s="219"/>
      <c r="D34" s="219"/>
      <c r="E34" s="220"/>
      <c r="F34" s="220"/>
      <c r="G34" s="216"/>
      <c r="H34" s="55">
        <f t="shared" ref="H34" si="29">H32</f>
        <v>0</v>
      </c>
      <c r="I34" s="217"/>
      <c r="J34" s="194"/>
      <c r="K34" s="218"/>
      <c r="L34" s="72">
        <f>1028*130*1043/1000000000</f>
        <v>0.13938652000000001</v>
      </c>
      <c r="M34" s="85">
        <v>10</v>
      </c>
    </row>
    <row r="35" spans="1:13" ht="15" customHeight="1">
      <c r="A35" s="153" t="s">
        <v>31</v>
      </c>
      <c r="B35" s="25" t="s">
        <v>244</v>
      </c>
      <c r="C35" s="219">
        <v>13.2</v>
      </c>
      <c r="D35" s="219">
        <v>14.5</v>
      </c>
      <c r="E35" s="220" t="s">
        <v>459</v>
      </c>
      <c r="F35" s="220" t="s">
        <v>464</v>
      </c>
      <c r="G35" s="216">
        <v>2682</v>
      </c>
      <c r="H35" s="55">
        <v>0</v>
      </c>
      <c r="I35" s="217">
        <f t="shared" ref="I35" si="30">$B$2</f>
        <v>0</v>
      </c>
      <c r="J35" s="194">
        <f t="shared" ref="J35" si="31">G35*(1-I35)</f>
        <v>2682</v>
      </c>
      <c r="K35" s="218">
        <f t="shared" ref="K35" si="32">H35*J35</f>
        <v>0</v>
      </c>
      <c r="L35" s="72">
        <f>963*409*963/1000000000</f>
        <v>0.37929392099999998</v>
      </c>
      <c r="M35" s="85">
        <v>43</v>
      </c>
    </row>
    <row r="36" spans="1:13" ht="15" customHeight="1">
      <c r="A36" s="153"/>
      <c r="B36" s="25" t="s">
        <v>276</v>
      </c>
      <c r="C36" s="219"/>
      <c r="D36" s="219"/>
      <c r="E36" s="220"/>
      <c r="F36" s="220"/>
      <c r="G36" s="216"/>
      <c r="H36" s="55">
        <f t="shared" ref="H36" si="33">H35</f>
        <v>0</v>
      </c>
      <c r="I36" s="217"/>
      <c r="J36" s="194"/>
      <c r="K36" s="218"/>
      <c r="L36" s="72">
        <f>1113*1400*453/1000000000</f>
        <v>0.70586459999999995</v>
      </c>
      <c r="M36" s="85">
        <v>123</v>
      </c>
    </row>
    <row r="37" spans="1:13" ht="15" customHeight="1">
      <c r="A37" s="153"/>
      <c r="B37" s="25" t="s">
        <v>286</v>
      </c>
      <c r="C37" s="219"/>
      <c r="D37" s="219"/>
      <c r="E37" s="220"/>
      <c r="F37" s="220"/>
      <c r="G37" s="216"/>
      <c r="H37" s="55">
        <f t="shared" ref="H37" si="34">H35</f>
        <v>0</v>
      </c>
      <c r="I37" s="217"/>
      <c r="J37" s="194"/>
      <c r="K37" s="218"/>
      <c r="L37" s="72">
        <f>1028*130*1043/1000000000</f>
        <v>0.13938652000000001</v>
      </c>
      <c r="M37" s="85">
        <v>10</v>
      </c>
    </row>
    <row r="38" spans="1:13" ht="15" customHeight="1">
      <c r="A38" s="153" t="s">
        <v>159</v>
      </c>
      <c r="B38" s="25" t="s">
        <v>245</v>
      </c>
      <c r="C38" s="219">
        <v>15.5</v>
      </c>
      <c r="D38" s="219">
        <v>18</v>
      </c>
      <c r="E38" s="220" t="s">
        <v>460</v>
      </c>
      <c r="F38" s="220" t="s">
        <v>468</v>
      </c>
      <c r="G38" s="216">
        <v>3236.2175999999995</v>
      </c>
      <c r="H38" s="55">
        <v>0</v>
      </c>
      <c r="I38" s="217">
        <f t="shared" ref="I38" si="35">$B$2</f>
        <v>0</v>
      </c>
      <c r="J38" s="194">
        <f t="shared" ref="J38" si="36">G38*(1-I38)</f>
        <v>3236.2175999999995</v>
      </c>
      <c r="K38" s="218">
        <f t="shared" ref="K38" si="37">H38*J38</f>
        <v>0</v>
      </c>
      <c r="L38" s="72">
        <f>1023*375*993/1000000000</f>
        <v>0.380939625</v>
      </c>
      <c r="M38" s="85">
        <v>53</v>
      </c>
    </row>
    <row r="39" spans="1:13" ht="15" customHeight="1">
      <c r="A39" s="153"/>
      <c r="B39" s="25" t="s">
        <v>277</v>
      </c>
      <c r="C39" s="219"/>
      <c r="D39" s="219"/>
      <c r="E39" s="220"/>
      <c r="F39" s="220"/>
      <c r="G39" s="216"/>
      <c r="H39" s="55">
        <f t="shared" ref="H39" si="38">H38</f>
        <v>0</v>
      </c>
      <c r="I39" s="217"/>
      <c r="J39" s="194"/>
      <c r="K39" s="218"/>
      <c r="L39" s="72">
        <f>1113*453*1400/1000000000</f>
        <v>0.70586459999999995</v>
      </c>
      <c r="M39" s="85">
        <v>134</v>
      </c>
    </row>
    <row r="40" spans="1:13" ht="15" customHeight="1">
      <c r="A40" s="153"/>
      <c r="B40" s="25" t="s">
        <v>287</v>
      </c>
      <c r="C40" s="219"/>
      <c r="D40" s="219"/>
      <c r="E40" s="220"/>
      <c r="F40" s="220"/>
      <c r="G40" s="216"/>
      <c r="H40" s="55">
        <f t="shared" ref="H40" si="39">H38</f>
        <v>0</v>
      </c>
      <c r="I40" s="217"/>
      <c r="J40" s="194"/>
      <c r="K40" s="218"/>
      <c r="L40" s="72">
        <f>1137*1137*140/1000000000</f>
        <v>0.18098765999999999</v>
      </c>
      <c r="M40" s="85">
        <v>12</v>
      </c>
    </row>
    <row r="41" spans="1:13" ht="73.5" customHeight="1">
      <c r="A41" s="209" t="s">
        <v>2</v>
      </c>
      <c r="B41" s="209"/>
      <c r="C41" s="209"/>
      <c r="D41" s="210"/>
      <c r="E41" s="210"/>
      <c r="F41" s="210"/>
      <c r="G41" s="210"/>
      <c r="H41" s="210"/>
      <c r="I41" s="210"/>
      <c r="J41" s="210"/>
      <c r="K41" s="210"/>
      <c r="L41" s="210"/>
      <c r="M41" s="210"/>
    </row>
    <row r="42" spans="1:13" ht="15" customHeight="1">
      <c r="A42" s="153" t="s">
        <v>32</v>
      </c>
      <c r="B42" s="25" t="s">
        <v>246</v>
      </c>
      <c r="C42" s="154">
        <v>2.6</v>
      </c>
      <c r="D42" s="154">
        <v>2.85</v>
      </c>
      <c r="E42" s="215" t="s">
        <v>456</v>
      </c>
      <c r="F42" s="215" t="s">
        <v>474</v>
      </c>
      <c r="G42" s="198">
        <v>916.03679999999986</v>
      </c>
      <c r="H42" s="47">
        <v>0</v>
      </c>
      <c r="I42" s="181">
        <f>$B$2</f>
        <v>0</v>
      </c>
      <c r="J42" s="194">
        <v>917</v>
      </c>
      <c r="K42" s="212">
        <f>J42*H42</f>
        <v>0</v>
      </c>
      <c r="L42" s="72">
        <f>938*310*808/1000000000</f>
        <v>0.23495024</v>
      </c>
      <c r="M42" s="85">
        <v>32</v>
      </c>
    </row>
    <row r="43" spans="1:13" ht="17.25" customHeight="1">
      <c r="A43" s="153"/>
      <c r="B43" s="25" t="s">
        <v>278</v>
      </c>
      <c r="C43" s="154"/>
      <c r="D43" s="154"/>
      <c r="E43" s="215"/>
      <c r="F43" s="215"/>
      <c r="G43" s="198"/>
      <c r="H43" s="50">
        <f t="shared" ref="H43" si="40">H42</f>
        <v>0</v>
      </c>
      <c r="I43" s="181"/>
      <c r="J43" s="194"/>
      <c r="K43" s="212"/>
      <c r="L43" s="72">
        <f>873*605*363/1000000000</f>
        <v>0.19172389500000001</v>
      </c>
      <c r="M43" s="85">
        <v>37</v>
      </c>
    </row>
    <row r="44" spans="1:13" ht="15" customHeight="1">
      <c r="A44" s="153" t="s">
        <v>33</v>
      </c>
      <c r="B44" s="25" t="s">
        <v>247</v>
      </c>
      <c r="C44" s="154">
        <v>3.5</v>
      </c>
      <c r="D44" s="154">
        <v>3.6</v>
      </c>
      <c r="E44" s="215" t="s">
        <v>454</v>
      </c>
      <c r="F44" s="215" t="s">
        <v>461</v>
      </c>
      <c r="G44" s="198">
        <v>1056.4512</v>
      </c>
      <c r="H44" s="47">
        <v>0</v>
      </c>
      <c r="I44" s="181">
        <f t="shared" ref="I44" si="41">$B$2</f>
        <v>0</v>
      </c>
      <c r="J44" s="194">
        <v>1055</v>
      </c>
      <c r="K44" s="212">
        <f t="shared" ref="K44" si="42">J44*H44</f>
        <v>0</v>
      </c>
      <c r="L44" s="72">
        <f>938*310*808/1000000000</f>
        <v>0.23495024</v>
      </c>
      <c r="M44" s="85">
        <v>33</v>
      </c>
    </row>
    <row r="45" spans="1:13" ht="15" customHeight="1">
      <c r="A45" s="153"/>
      <c r="B45" s="25" t="s">
        <v>269</v>
      </c>
      <c r="C45" s="154"/>
      <c r="D45" s="154"/>
      <c r="E45" s="215"/>
      <c r="F45" s="215"/>
      <c r="G45" s="198"/>
      <c r="H45" s="50">
        <f t="shared" ref="H45" si="43">H44</f>
        <v>0</v>
      </c>
      <c r="I45" s="181"/>
      <c r="J45" s="194"/>
      <c r="K45" s="212"/>
      <c r="L45" s="72">
        <f>873*605*363/1000000000</f>
        <v>0.19172389500000001</v>
      </c>
      <c r="M45" s="85">
        <v>37</v>
      </c>
    </row>
    <row r="46" spans="1:13" ht="15" customHeight="1">
      <c r="A46" s="153" t="s">
        <v>34</v>
      </c>
      <c r="B46" s="25" t="s">
        <v>248</v>
      </c>
      <c r="C46" s="154">
        <v>5</v>
      </c>
      <c r="D46" s="154">
        <v>5.7</v>
      </c>
      <c r="E46" s="215" t="s">
        <v>469</v>
      </c>
      <c r="F46" s="215" t="s">
        <v>459</v>
      </c>
      <c r="G46" s="198">
        <v>1180.1496</v>
      </c>
      <c r="H46" s="47">
        <v>0</v>
      </c>
      <c r="I46" s="181">
        <f t="shared" ref="I46" si="44">$B$2</f>
        <v>0</v>
      </c>
      <c r="J46" s="194">
        <v>1180</v>
      </c>
      <c r="K46" s="212">
        <f t="shared" ref="K46" si="45">J46*H46</f>
        <v>0</v>
      </c>
      <c r="L46" s="72">
        <f>938*310*808/1000000000</f>
        <v>0.23495024</v>
      </c>
      <c r="M46" s="85">
        <v>33</v>
      </c>
    </row>
    <row r="47" spans="1:13" ht="15" customHeight="1">
      <c r="A47" s="153"/>
      <c r="B47" s="25" t="s">
        <v>270</v>
      </c>
      <c r="C47" s="154"/>
      <c r="D47" s="154"/>
      <c r="E47" s="215"/>
      <c r="F47" s="215"/>
      <c r="G47" s="198">
        <f>D47*2.388</f>
        <v>0</v>
      </c>
      <c r="H47" s="50">
        <f t="shared" ref="H47" si="46">H46</f>
        <v>0</v>
      </c>
      <c r="I47" s="181"/>
      <c r="J47" s="194"/>
      <c r="K47" s="212"/>
      <c r="L47" s="72">
        <f>873*605*363/1000000000</f>
        <v>0.19172389500000001</v>
      </c>
      <c r="M47" s="85">
        <v>45</v>
      </c>
    </row>
    <row r="48" spans="1:13" ht="15" customHeight="1">
      <c r="A48" s="153" t="s">
        <v>35</v>
      </c>
      <c r="B48" s="25" t="s">
        <v>249</v>
      </c>
      <c r="C48" s="154">
        <v>7</v>
      </c>
      <c r="D48" s="154">
        <v>8</v>
      </c>
      <c r="E48" s="215" t="s">
        <v>470</v>
      </c>
      <c r="F48" s="215" t="s">
        <v>453</v>
      </c>
      <c r="G48" s="198">
        <v>1624.7951999999998</v>
      </c>
      <c r="H48" s="47">
        <v>0</v>
      </c>
      <c r="I48" s="181">
        <f t="shared" ref="I48" si="47">$B$2</f>
        <v>0</v>
      </c>
      <c r="J48" s="194">
        <v>1624</v>
      </c>
      <c r="K48" s="212">
        <f t="shared" ref="K48" si="48">J48*H48</f>
        <v>0</v>
      </c>
      <c r="L48" s="72">
        <f>1417*263*727/1000000000</f>
        <v>0.27093181700000002</v>
      </c>
      <c r="M48" s="85">
        <v>40</v>
      </c>
    </row>
    <row r="49" spans="1:13" ht="15" customHeight="1">
      <c r="A49" s="153"/>
      <c r="B49" s="25" t="s">
        <v>271</v>
      </c>
      <c r="C49" s="154"/>
      <c r="D49" s="154"/>
      <c r="E49" s="215"/>
      <c r="F49" s="215"/>
      <c r="G49" s="198">
        <f>D49*2.388</f>
        <v>0</v>
      </c>
      <c r="H49" s="50">
        <f t="shared" ref="H49" si="49">H48</f>
        <v>0</v>
      </c>
      <c r="I49" s="181"/>
      <c r="J49" s="194"/>
      <c r="K49" s="212"/>
      <c r="L49" s="72">
        <f>1103*770*453/1000000000</f>
        <v>0.38473742999999999</v>
      </c>
      <c r="M49" s="85">
        <v>64</v>
      </c>
    </row>
    <row r="50" spans="1:13" ht="15" customHeight="1">
      <c r="A50" s="153" t="s">
        <v>36</v>
      </c>
      <c r="B50" s="25" t="s">
        <v>250</v>
      </c>
      <c r="C50" s="154">
        <v>8.5</v>
      </c>
      <c r="D50" s="154">
        <v>9.8000000000000007</v>
      </c>
      <c r="E50" s="215" t="s">
        <v>433</v>
      </c>
      <c r="F50" s="215" t="s">
        <v>475</v>
      </c>
      <c r="G50" s="198">
        <v>1935.7127999999998</v>
      </c>
      <c r="H50" s="47">
        <v>0</v>
      </c>
      <c r="I50" s="181">
        <f t="shared" ref="I50" si="50">$B$2</f>
        <v>0</v>
      </c>
      <c r="J50" s="194">
        <v>1937</v>
      </c>
      <c r="K50" s="212">
        <f t="shared" ref="K50" si="51">J50*H50</f>
        <v>0</v>
      </c>
      <c r="L50" s="72">
        <f>1548*345*828/1000000000</f>
        <v>0.44220167999999999</v>
      </c>
      <c r="M50" s="85">
        <v>58</v>
      </c>
    </row>
    <row r="51" spans="1:13" ht="15" customHeight="1">
      <c r="A51" s="153"/>
      <c r="B51" s="25" t="s">
        <v>272</v>
      </c>
      <c r="C51" s="154"/>
      <c r="D51" s="154"/>
      <c r="E51" s="215"/>
      <c r="F51" s="215"/>
      <c r="G51" s="198">
        <f>D51*2.388</f>
        <v>0</v>
      </c>
      <c r="H51" s="50">
        <f t="shared" ref="H51" si="52">H50</f>
        <v>0</v>
      </c>
      <c r="I51" s="181"/>
      <c r="J51" s="194"/>
      <c r="K51" s="212"/>
      <c r="L51" s="72">
        <f>1083*855*488/1000000000</f>
        <v>0.45187092000000001</v>
      </c>
      <c r="M51" s="85">
        <v>75</v>
      </c>
    </row>
    <row r="52" spans="1:13" ht="15" customHeight="1">
      <c r="A52" s="153" t="s">
        <v>37</v>
      </c>
      <c r="B52" s="25" t="s">
        <v>251</v>
      </c>
      <c r="C52" s="154">
        <v>10</v>
      </c>
      <c r="D52" s="154">
        <v>11</v>
      </c>
      <c r="E52" s="215" t="s">
        <v>471</v>
      </c>
      <c r="F52" s="215" t="s">
        <v>465</v>
      </c>
      <c r="G52" s="198">
        <v>2377.0151999999998</v>
      </c>
      <c r="H52" s="47">
        <v>0</v>
      </c>
      <c r="I52" s="181">
        <f t="shared" ref="I52" si="53">$B$2</f>
        <v>0</v>
      </c>
      <c r="J52" s="194">
        <v>2376</v>
      </c>
      <c r="K52" s="212">
        <f t="shared" ref="K52" si="54">J52*H52</f>
        <v>0</v>
      </c>
      <c r="L52" s="72">
        <f>1717*345*833/1000000000</f>
        <v>0.49344004499999999</v>
      </c>
      <c r="M52" s="85">
        <v>58</v>
      </c>
    </row>
    <row r="53" spans="1:13" ht="15" customHeight="1">
      <c r="A53" s="153"/>
      <c r="B53" s="25" t="s">
        <v>273</v>
      </c>
      <c r="C53" s="154"/>
      <c r="D53" s="154"/>
      <c r="E53" s="215"/>
      <c r="F53" s="215"/>
      <c r="G53" s="198">
        <f>D53*2.388</f>
        <v>0</v>
      </c>
      <c r="H53" s="50">
        <f t="shared" ref="H53" si="55">H52</f>
        <v>0</v>
      </c>
      <c r="I53" s="181"/>
      <c r="J53" s="194"/>
      <c r="K53" s="212"/>
      <c r="L53" s="72">
        <f>1103*1000*453/1000000000</f>
        <v>0.49965900000000002</v>
      </c>
      <c r="M53" s="85">
        <v>100</v>
      </c>
    </row>
    <row r="54" spans="1:13" ht="15" customHeight="1">
      <c r="A54" s="153" t="s">
        <v>38</v>
      </c>
      <c r="B54" s="25" t="s">
        <v>251</v>
      </c>
      <c r="C54" s="154">
        <v>9.8000000000000007</v>
      </c>
      <c r="D54" s="154">
        <v>10.78</v>
      </c>
      <c r="E54" s="215" t="s">
        <v>472</v>
      </c>
      <c r="F54" s="215" t="s">
        <v>461</v>
      </c>
      <c r="G54" s="198">
        <v>2403.7607999999996</v>
      </c>
      <c r="H54" s="47">
        <v>0</v>
      </c>
      <c r="I54" s="181">
        <f t="shared" ref="I54" si="56">$B$2</f>
        <v>0</v>
      </c>
      <c r="J54" s="194">
        <v>2405</v>
      </c>
      <c r="K54" s="212">
        <f t="shared" ref="K54" si="57">J54*H54</f>
        <v>0</v>
      </c>
      <c r="L54" s="72">
        <f>1717*345*833/1000000000</f>
        <v>0.49344004499999999</v>
      </c>
      <c r="M54" s="85">
        <v>58</v>
      </c>
    </row>
    <row r="55" spans="1:13" ht="15" customHeight="1">
      <c r="A55" s="153"/>
      <c r="B55" s="25" t="s">
        <v>274</v>
      </c>
      <c r="C55" s="154"/>
      <c r="D55" s="154"/>
      <c r="E55" s="215"/>
      <c r="F55" s="215"/>
      <c r="G55" s="198">
        <f>D55*2.388</f>
        <v>0</v>
      </c>
      <c r="H55" s="50">
        <f t="shared" ref="H55" si="58">H54</f>
        <v>0</v>
      </c>
      <c r="I55" s="181"/>
      <c r="J55" s="194"/>
      <c r="K55" s="212"/>
      <c r="L55" s="72">
        <f>1103*1000*453/1000000000</f>
        <v>0.49965900000000002</v>
      </c>
      <c r="M55" s="85">
        <v>100</v>
      </c>
    </row>
    <row r="56" spans="1:13" ht="15" customHeight="1">
      <c r="A56" s="153" t="s">
        <v>39</v>
      </c>
      <c r="B56" s="25" t="s">
        <v>252</v>
      </c>
      <c r="C56" s="154">
        <v>12</v>
      </c>
      <c r="D56" s="154">
        <v>14</v>
      </c>
      <c r="E56" s="215" t="s">
        <v>455</v>
      </c>
      <c r="F56" s="215" t="s">
        <v>476</v>
      </c>
      <c r="G56" s="198">
        <v>2534.1455999999998</v>
      </c>
      <c r="H56" s="47">
        <v>0</v>
      </c>
      <c r="I56" s="181">
        <f t="shared" ref="I56" si="59">$B$2</f>
        <v>0</v>
      </c>
      <c r="J56" s="194">
        <f t="shared" ref="J56" si="60">G56*(1-I56)</f>
        <v>2534.1455999999998</v>
      </c>
      <c r="K56" s="212">
        <f t="shared" ref="K56" si="61">J56*H56</f>
        <v>0</v>
      </c>
      <c r="L56" s="72">
        <f>1717*345*833/1000000000</f>
        <v>0.49344004499999999</v>
      </c>
      <c r="M56" s="85">
        <v>58</v>
      </c>
    </row>
    <row r="57" spans="1:13" ht="15" customHeight="1">
      <c r="A57" s="153"/>
      <c r="B57" s="25" t="s">
        <v>275</v>
      </c>
      <c r="C57" s="154"/>
      <c r="D57" s="154"/>
      <c r="E57" s="215"/>
      <c r="F57" s="215"/>
      <c r="G57" s="198">
        <f>D57*2.388</f>
        <v>0</v>
      </c>
      <c r="H57" s="50">
        <f t="shared" ref="H57" si="62">H56</f>
        <v>0</v>
      </c>
      <c r="I57" s="181"/>
      <c r="J57" s="194"/>
      <c r="K57" s="212"/>
      <c r="L57" s="72">
        <f>1113*1400*453/1000000000</f>
        <v>0.70586459999999995</v>
      </c>
      <c r="M57" s="85">
        <v>123</v>
      </c>
    </row>
    <row r="58" spans="1:13" ht="15" customHeight="1">
      <c r="A58" s="153" t="s">
        <v>40</v>
      </c>
      <c r="B58" s="25" t="s">
        <v>253</v>
      </c>
      <c r="C58" s="154">
        <v>13.2</v>
      </c>
      <c r="D58" s="154">
        <v>14.5</v>
      </c>
      <c r="E58" s="215" t="s">
        <v>473</v>
      </c>
      <c r="F58" s="215" t="s">
        <v>477</v>
      </c>
      <c r="G58" s="198">
        <v>2691.2759999999998</v>
      </c>
      <c r="H58" s="47">
        <v>0</v>
      </c>
      <c r="I58" s="181">
        <f t="shared" ref="I58" si="63">$B$2</f>
        <v>0</v>
      </c>
      <c r="J58" s="194">
        <f t="shared" ref="J58" si="64">G58*(1-I58)</f>
        <v>2691.2759999999998</v>
      </c>
      <c r="K58" s="212">
        <f t="shared" ref="K58" si="65">J58*H58</f>
        <v>0</v>
      </c>
      <c r="L58" s="72">
        <f>1717*345*833/1000000000</f>
        <v>0.49344004499999999</v>
      </c>
      <c r="M58" s="85">
        <v>58</v>
      </c>
    </row>
    <row r="59" spans="1:13" ht="15" customHeight="1">
      <c r="A59" s="153"/>
      <c r="B59" s="25" t="s">
        <v>276</v>
      </c>
      <c r="C59" s="154"/>
      <c r="D59" s="154"/>
      <c r="E59" s="215"/>
      <c r="F59" s="215"/>
      <c r="G59" s="198">
        <f>D59*2.388</f>
        <v>0</v>
      </c>
      <c r="H59" s="50">
        <f t="shared" ref="H59" si="66">H58</f>
        <v>0</v>
      </c>
      <c r="I59" s="181"/>
      <c r="J59" s="194"/>
      <c r="K59" s="212"/>
      <c r="L59" s="72">
        <f>1113*1400*453/1000000000</f>
        <v>0.70586459999999995</v>
      </c>
      <c r="M59" s="85">
        <v>123</v>
      </c>
    </row>
    <row r="60" spans="1:13" ht="15.75" customHeight="1">
      <c r="A60" s="153" t="s">
        <v>41</v>
      </c>
      <c r="B60" s="25" t="s">
        <v>254</v>
      </c>
      <c r="C60" s="154">
        <v>15.5</v>
      </c>
      <c r="D60" s="154">
        <v>18.5</v>
      </c>
      <c r="E60" s="215" t="s">
        <v>455</v>
      </c>
      <c r="F60" s="215" t="s">
        <v>478</v>
      </c>
      <c r="G60" s="198">
        <v>3259.62</v>
      </c>
      <c r="H60" s="47">
        <v>0</v>
      </c>
      <c r="I60" s="181">
        <f t="shared" ref="I60" si="67">$B$2</f>
        <v>0</v>
      </c>
      <c r="J60" s="194">
        <f t="shared" ref="J60" si="68">G60*(1-I60)</f>
        <v>3259.62</v>
      </c>
      <c r="K60" s="212">
        <f t="shared" ref="K60" si="69">J60*H60</f>
        <v>0</v>
      </c>
      <c r="L60" s="72">
        <f>1828*345*828/1000000000</f>
        <v>0.52218648000000001</v>
      </c>
      <c r="M60" s="85">
        <v>73</v>
      </c>
    </row>
    <row r="61" spans="1:13" ht="15" customHeight="1">
      <c r="A61" s="153"/>
      <c r="B61" s="25" t="s">
        <v>277</v>
      </c>
      <c r="C61" s="154"/>
      <c r="D61" s="154"/>
      <c r="E61" s="215"/>
      <c r="F61" s="215"/>
      <c r="G61" s="198">
        <f>D61*2.388</f>
        <v>0</v>
      </c>
      <c r="H61" s="50">
        <f t="shared" ref="H61" si="70">H60</f>
        <v>0</v>
      </c>
      <c r="I61" s="181"/>
      <c r="J61" s="194"/>
      <c r="K61" s="212"/>
      <c r="L61" s="72">
        <f>1113*453*1400/1000000000</f>
        <v>0.70586459999999995</v>
      </c>
      <c r="M61" s="85">
        <v>134</v>
      </c>
    </row>
    <row r="62" spans="1:13" ht="73.5" customHeight="1">
      <c r="A62" s="209" t="s">
        <v>0</v>
      </c>
      <c r="B62" s="209"/>
      <c r="C62" s="209"/>
      <c r="D62" s="210"/>
      <c r="E62" s="210"/>
      <c r="F62" s="210"/>
      <c r="G62" s="210"/>
      <c r="H62" s="210"/>
      <c r="I62" s="210"/>
      <c r="J62" s="210"/>
      <c r="K62" s="210"/>
      <c r="L62" s="210"/>
      <c r="M62" s="210"/>
    </row>
    <row r="63" spans="1:13" ht="15" customHeight="1">
      <c r="A63" s="153" t="s">
        <v>42</v>
      </c>
      <c r="B63" s="25" t="s">
        <v>255</v>
      </c>
      <c r="C63" s="154">
        <v>2.6</v>
      </c>
      <c r="D63" s="154">
        <v>2.85</v>
      </c>
      <c r="E63" s="215" t="s">
        <v>456</v>
      </c>
      <c r="F63" s="215" t="s">
        <v>485</v>
      </c>
      <c r="G63" s="198">
        <v>885.94799999999998</v>
      </c>
      <c r="H63" s="47">
        <v>0</v>
      </c>
      <c r="I63" s="181">
        <f t="shared" ref="I63" si="71">$B$2</f>
        <v>0</v>
      </c>
      <c r="J63" s="194">
        <f t="shared" ref="J63" si="72">G63*(1-I63)</f>
        <v>885.94799999999998</v>
      </c>
      <c r="K63" s="212">
        <f t="shared" ref="K63" si="73">J63*H63</f>
        <v>0</v>
      </c>
      <c r="L63" s="72">
        <f>998*273*753/1000000000</f>
        <v>0.205157862</v>
      </c>
      <c r="M63" s="85">
        <v>29</v>
      </c>
    </row>
    <row r="64" spans="1:13" ht="15" customHeight="1">
      <c r="A64" s="153"/>
      <c r="B64" s="25" t="s">
        <v>278</v>
      </c>
      <c r="C64" s="154"/>
      <c r="D64" s="154"/>
      <c r="E64" s="215"/>
      <c r="F64" s="215"/>
      <c r="G64" s="198">
        <f>D64*2.388</f>
        <v>0</v>
      </c>
      <c r="H64" s="50">
        <f t="shared" ref="H64" si="74">H63</f>
        <v>0</v>
      </c>
      <c r="I64" s="181"/>
      <c r="J64" s="194"/>
      <c r="K64" s="212"/>
      <c r="L64" s="72">
        <f>873*605*363/1000000000</f>
        <v>0.19172389500000001</v>
      </c>
      <c r="M64" s="85">
        <v>37</v>
      </c>
    </row>
    <row r="65" spans="1:13" ht="15" customHeight="1">
      <c r="A65" s="153" t="s">
        <v>43</v>
      </c>
      <c r="B65" s="25" t="s">
        <v>256</v>
      </c>
      <c r="C65" s="154">
        <v>3.5</v>
      </c>
      <c r="D65" s="154">
        <v>3.6</v>
      </c>
      <c r="E65" s="215" t="s">
        <v>430</v>
      </c>
      <c r="F65" s="215" t="s">
        <v>461</v>
      </c>
      <c r="G65" s="198">
        <v>1029</v>
      </c>
      <c r="H65" s="47">
        <v>0</v>
      </c>
      <c r="I65" s="181">
        <f t="shared" ref="I65" si="75">$B$2</f>
        <v>0</v>
      </c>
      <c r="J65" s="194">
        <f t="shared" ref="J65" si="76">G65*(1-I65)</f>
        <v>1029</v>
      </c>
      <c r="K65" s="212">
        <f t="shared" ref="K65" si="77">J65*H65</f>
        <v>0</v>
      </c>
      <c r="L65" s="72">
        <f>998*273*753/1000000000</f>
        <v>0.205157862</v>
      </c>
      <c r="M65" s="85">
        <v>30</v>
      </c>
    </row>
    <row r="66" spans="1:13" ht="15" customHeight="1">
      <c r="A66" s="153"/>
      <c r="B66" s="25" t="s">
        <v>269</v>
      </c>
      <c r="C66" s="154"/>
      <c r="D66" s="154"/>
      <c r="E66" s="215"/>
      <c r="F66" s="215"/>
      <c r="G66" s="198">
        <f>D66*2.388</f>
        <v>0</v>
      </c>
      <c r="H66" s="50">
        <f t="shared" ref="H66" si="78">H65</f>
        <v>0</v>
      </c>
      <c r="I66" s="181"/>
      <c r="J66" s="194"/>
      <c r="K66" s="212"/>
      <c r="L66" s="72">
        <f>873*605*363/1000000000</f>
        <v>0.19172389500000001</v>
      </c>
      <c r="M66" s="85">
        <v>37</v>
      </c>
    </row>
    <row r="67" spans="1:13" ht="15" customHeight="1">
      <c r="A67" s="153" t="s">
        <v>44</v>
      </c>
      <c r="B67" s="25" t="s">
        <v>257</v>
      </c>
      <c r="C67" s="154">
        <v>5</v>
      </c>
      <c r="D67" s="154">
        <v>5.7</v>
      </c>
      <c r="E67" s="215" t="s">
        <v>479</v>
      </c>
      <c r="F67" s="215" t="s">
        <v>486</v>
      </c>
      <c r="G67" s="198">
        <v>1213</v>
      </c>
      <c r="H67" s="47">
        <v>0</v>
      </c>
      <c r="I67" s="181">
        <f t="shared" ref="I67" si="79">$B$2</f>
        <v>0</v>
      </c>
      <c r="J67" s="194">
        <f t="shared" ref="J67" si="80">G67*(1-I67)</f>
        <v>1213</v>
      </c>
      <c r="K67" s="212">
        <f t="shared" ref="K67" si="81">J67*H67</f>
        <v>0</v>
      </c>
      <c r="L67" s="72">
        <f>1123*323*798/1000000000</f>
        <v>0.28945774200000002</v>
      </c>
      <c r="M67" s="85">
        <v>41</v>
      </c>
    </row>
    <row r="68" spans="1:13" ht="15" customHeight="1">
      <c r="A68" s="153"/>
      <c r="B68" s="25" t="s">
        <v>270</v>
      </c>
      <c r="C68" s="154"/>
      <c r="D68" s="154"/>
      <c r="E68" s="215"/>
      <c r="F68" s="215"/>
      <c r="G68" s="198">
        <f>D68*2.388</f>
        <v>0</v>
      </c>
      <c r="H68" s="50">
        <f t="shared" ref="H68" si="82">H67</f>
        <v>0</v>
      </c>
      <c r="I68" s="181"/>
      <c r="J68" s="194"/>
      <c r="K68" s="212"/>
      <c r="L68" s="72">
        <f>873*605*363/1000000000</f>
        <v>0.19172389500000001</v>
      </c>
      <c r="M68" s="85">
        <v>45</v>
      </c>
    </row>
    <row r="69" spans="1:13" ht="15" customHeight="1">
      <c r="A69" s="153" t="s">
        <v>45</v>
      </c>
      <c r="B69" s="25" t="s">
        <v>258</v>
      </c>
      <c r="C69" s="154">
        <v>7</v>
      </c>
      <c r="D69" s="154">
        <v>8</v>
      </c>
      <c r="E69" s="215" t="s">
        <v>480</v>
      </c>
      <c r="F69" s="215" t="s">
        <v>421</v>
      </c>
      <c r="G69" s="198">
        <v>1552</v>
      </c>
      <c r="H69" s="47">
        <v>0</v>
      </c>
      <c r="I69" s="181">
        <f t="shared" ref="I69" si="83">$B$2</f>
        <v>0</v>
      </c>
      <c r="J69" s="194">
        <f t="shared" ref="J69" si="84">G69*(1-I69)</f>
        <v>1552</v>
      </c>
      <c r="K69" s="212">
        <f t="shared" ref="K69" si="85">J69*H69</f>
        <v>0</v>
      </c>
      <c r="L69" s="72">
        <f>1348*283*597/1000000000</f>
        <v>0.227745948</v>
      </c>
      <c r="M69" s="85">
        <v>43</v>
      </c>
    </row>
    <row r="70" spans="1:13" ht="15.75" customHeight="1">
      <c r="A70" s="153"/>
      <c r="B70" s="25" t="s">
        <v>271</v>
      </c>
      <c r="C70" s="154"/>
      <c r="D70" s="154"/>
      <c r="E70" s="215"/>
      <c r="F70" s="215"/>
      <c r="G70" s="198">
        <f>D70*2.388</f>
        <v>0</v>
      </c>
      <c r="H70" s="50">
        <f t="shared" ref="H70" si="86">H69</f>
        <v>0</v>
      </c>
      <c r="I70" s="181"/>
      <c r="J70" s="194"/>
      <c r="K70" s="212"/>
      <c r="L70" s="72">
        <f>1103*770*453/1000000000</f>
        <v>0.38473742999999999</v>
      </c>
      <c r="M70" s="85">
        <v>64</v>
      </c>
    </row>
    <row r="71" spans="1:13" ht="15" customHeight="1">
      <c r="A71" s="153" t="s">
        <v>46</v>
      </c>
      <c r="B71" s="25" t="s">
        <v>259</v>
      </c>
      <c r="C71" s="154">
        <v>8.3000000000000007</v>
      </c>
      <c r="D71" s="154">
        <v>9.1</v>
      </c>
      <c r="E71" s="215" t="s">
        <v>471</v>
      </c>
      <c r="F71" s="215" t="s">
        <v>481</v>
      </c>
      <c r="G71" s="198">
        <v>1765.2095999999997</v>
      </c>
      <c r="H71" s="47">
        <v>0</v>
      </c>
      <c r="I71" s="181">
        <f t="shared" ref="I71" si="87">$B$2</f>
        <v>0</v>
      </c>
      <c r="J71" s="194">
        <f t="shared" ref="J71" si="88">G71*(1-I71)</f>
        <v>1765.2095999999997</v>
      </c>
      <c r="K71" s="212">
        <f t="shared" ref="K71" si="89">J71*H71</f>
        <v>0</v>
      </c>
      <c r="L71" s="72">
        <f>1348*283*597/1000000000</f>
        <v>0.227745948</v>
      </c>
      <c r="M71" s="85">
        <v>43</v>
      </c>
    </row>
    <row r="72" spans="1:13" ht="15" customHeight="1">
      <c r="A72" s="153"/>
      <c r="B72" s="25" t="s">
        <v>272</v>
      </c>
      <c r="C72" s="154"/>
      <c r="D72" s="154"/>
      <c r="E72" s="215"/>
      <c r="F72" s="215"/>
      <c r="G72" s="198">
        <f>D72*2.388</f>
        <v>0</v>
      </c>
      <c r="H72" s="50">
        <f t="shared" ref="H72" si="90">H71</f>
        <v>0</v>
      </c>
      <c r="I72" s="181"/>
      <c r="J72" s="194"/>
      <c r="K72" s="212"/>
      <c r="L72" s="72">
        <f>1083*855*488/1000000000</f>
        <v>0.45187092000000001</v>
      </c>
      <c r="M72" s="85">
        <v>75</v>
      </c>
    </row>
    <row r="73" spans="1:13" ht="15" customHeight="1">
      <c r="A73" s="153" t="s">
        <v>47</v>
      </c>
      <c r="B73" s="25" t="s">
        <v>260</v>
      </c>
      <c r="C73" s="154">
        <v>9.8000000000000007</v>
      </c>
      <c r="D73" s="154">
        <v>11</v>
      </c>
      <c r="E73" s="215" t="s">
        <v>482</v>
      </c>
      <c r="F73" s="215" t="s">
        <v>487</v>
      </c>
      <c r="G73" s="198">
        <v>2388</v>
      </c>
      <c r="H73" s="47">
        <v>0</v>
      </c>
      <c r="I73" s="181">
        <f t="shared" ref="I73" si="91">$B$2</f>
        <v>0</v>
      </c>
      <c r="J73" s="194">
        <f t="shared" ref="J73" si="92">G73*(1-I73)</f>
        <v>2388</v>
      </c>
      <c r="K73" s="212">
        <f t="shared" ref="K73" si="93">J73*H73</f>
        <v>0</v>
      </c>
      <c r="L73" s="72">
        <f>1338*305*837/1000000000</f>
        <v>0.34157133000000001</v>
      </c>
      <c r="M73" s="85">
        <v>43</v>
      </c>
    </row>
    <row r="74" spans="1:13" ht="15" customHeight="1">
      <c r="A74" s="153"/>
      <c r="B74" s="25" t="s">
        <v>273</v>
      </c>
      <c r="C74" s="154"/>
      <c r="D74" s="154"/>
      <c r="E74" s="215"/>
      <c r="F74" s="215"/>
      <c r="G74" s="198">
        <f>D74*2.388</f>
        <v>0</v>
      </c>
      <c r="H74" s="50">
        <f t="shared" ref="H74" si="94">H73</f>
        <v>0</v>
      </c>
      <c r="I74" s="181"/>
      <c r="J74" s="194"/>
      <c r="K74" s="212"/>
      <c r="L74" s="72">
        <f>1103*1000*453/1000000000</f>
        <v>0.49965900000000002</v>
      </c>
      <c r="M74" s="85">
        <v>100</v>
      </c>
    </row>
    <row r="75" spans="1:13" ht="15" customHeight="1">
      <c r="A75" s="153" t="s">
        <v>48</v>
      </c>
      <c r="B75" s="25" t="s">
        <v>260</v>
      </c>
      <c r="C75" s="154">
        <v>9.8000000000000007</v>
      </c>
      <c r="D75" s="154">
        <v>11</v>
      </c>
      <c r="E75" s="215" t="s">
        <v>482</v>
      </c>
      <c r="F75" s="215" t="s">
        <v>487</v>
      </c>
      <c r="G75" s="198">
        <v>2413.7903999999999</v>
      </c>
      <c r="H75" s="47">
        <v>0</v>
      </c>
      <c r="I75" s="181">
        <f t="shared" ref="I75" si="95">$B$2</f>
        <v>0</v>
      </c>
      <c r="J75" s="194">
        <f t="shared" ref="J75" si="96">G75*(1-I75)</f>
        <v>2413.7903999999999</v>
      </c>
      <c r="K75" s="212">
        <f t="shared" ref="K75" si="97">J75*H75</f>
        <v>0</v>
      </c>
      <c r="L75" s="72">
        <f>1338*305*837/1000000000</f>
        <v>0.34157133000000001</v>
      </c>
      <c r="M75" s="85">
        <v>61</v>
      </c>
    </row>
    <row r="76" spans="1:13" ht="15" customHeight="1">
      <c r="A76" s="153"/>
      <c r="B76" s="25" t="s">
        <v>274</v>
      </c>
      <c r="C76" s="154"/>
      <c r="D76" s="154"/>
      <c r="E76" s="215"/>
      <c r="F76" s="215"/>
      <c r="G76" s="198">
        <f>D76*2.388</f>
        <v>0</v>
      </c>
      <c r="H76" s="50">
        <f t="shared" ref="H76" si="98">H75</f>
        <v>0</v>
      </c>
      <c r="I76" s="181"/>
      <c r="J76" s="194"/>
      <c r="K76" s="212"/>
      <c r="L76" s="72">
        <f>1103*1000*453/1000000000</f>
        <v>0.49965900000000002</v>
      </c>
      <c r="M76" s="85">
        <v>100</v>
      </c>
    </row>
    <row r="77" spans="1:13" ht="15" customHeight="1">
      <c r="A77" s="153" t="s">
        <v>49</v>
      </c>
      <c r="B77" s="25" t="s">
        <v>261</v>
      </c>
      <c r="C77" s="154">
        <v>12</v>
      </c>
      <c r="D77" s="154">
        <v>14</v>
      </c>
      <c r="E77" s="215" t="s">
        <v>483</v>
      </c>
      <c r="F77" s="215" t="s">
        <v>457</v>
      </c>
      <c r="G77" s="198">
        <v>2547.5183999999999</v>
      </c>
      <c r="H77" s="47">
        <v>0</v>
      </c>
      <c r="I77" s="181">
        <f t="shared" ref="I77:I90" si="99">$B$2</f>
        <v>0</v>
      </c>
      <c r="J77" s="194">
        <f t="shared" ref="J77" si="100">G77*(1-I77)</f>
        <v>2547.5183999999999</v>
      </c>
      <c r="K77" s="212">
        <f t="shared" ref="K77" si="101">J77*H77</f>
        <v>0</v>
      </c>
      <c r="L77" s="72">
        <f>1338*305*837/1000000000</f>
        <v>0.34157133000000001</v>
      </c>
      <c r="M77" s="85">
        <v>61</v>
      </c>
    </row>
    <row r="78" spans="1:13" ht="15" customHeight="1">
      <c r="A78" s="153"/>
      <c r="B78" s="25" t="s">
        <v>275</v>
      </c>
      <c r="C78" s="154"/>
      <c r="D78" s="154"/>
      <c r="E78" s="215"/>
      <c r="F78" s="215"/>
      <c r="G78" s="198">
        <f>D78*2.388</f>
        <v>0</v>
      </c>
      <c r="H78" s="50">
        <f t="shared" ref="H78" si="102">H77</f>
        <v>0</v>
      </c>
      <c r="I78" s="181"/>
      <c r="J78" s="194"/>
      <c r="K78" s="212"/>
      <c r="L78" s="72">
        <f>1113*1400*453/1000000000</f>
        <v>0.70586459999999995</v>
      </c>
      <c r="M78" s="85">
        <v>123</v>
      </c>
    </row>
    <row r="79" spans="1:13" ht="15" customHeight="1">
      <c r="A79" s="153" t="s">
        <v>50</v>
      </c>
      <c r="B79" s="25" t="s">
        <v>262</v>
      </c>
      <c r="C79" s="154">
        <v>13.2</v>
      </c>
      <c r="D79" s="154">
        <v>14.5</v>
      </c>
      <c r="E79" s="215" t="s">
        <v>484</v>
      </c>
      <c r="F79" s="215" t="s">
        <v>488</v>
      </c>
      <c r="G79" s="198">
        <v>2739</v>
      </c>
      <c r="H79" s="47">
        <v>0</v>
      </c>
      <c r="I79" s="181">
        <f t="shared" ref="I79" si="103">$B$2</f>
        <v>0</v>
      </c>
      <c r="J79" s="194">
        <f t="shared" ref="J79" si="104">G79*(1-I79)</f>
        <v>2739</v>
      </c>
      <c r="K79" s="212">
        <f t="shared" ref="K79" si="105">J79*H79</f>
        <v>0</v>
      </c>
      <c r="L79" s="72">
        <f>1338*305*837/1000000000</f>
        <v>0.34157133000000001</v>
      </c>
      <c r="M79" s="85">
        <v>67</v>
      </c>
    </row>
    <row r="80" spans="1:13" ht="15" customHeight="1">
      <c r="A80" s="153"/>
      <c r="B80" s="25" t="s">
        <v>276</v>
      </c>
      <c r="C80" s="154"/>
      <c r="D80" s="154"/>
      <c r="E80" s="215"/>
      <c r="F80" s="215"/>
      <c r="G80" s="198">
        <f>D80*2.388</f>
        <v>0</v>
      </c>
      <c r="H80" s="50">
        <f t="shared" ref="H80" si="106">H79</f>
        <v>0</v>
      </c>
      <c r="I80" s="181"/>
      <c r="J80" s="194"/>
      <c r="K80" s="212"/>
      <c r="L80" s="72">
        <f>1113*1400*453/1000000000</f>
        <v>0.70586459999999995</v>
      </c>
      <c r="M80" s="85">
        <v>123</v>
      </c>
    </row>
    <row r="81" spans="1:13">
      <c r="A81" s="153" t="s">
        <v>51</v>
      </c>
      <c r="B81" s="25" t="s">
        <v>279</v>
      </c>
      <c r="C81" s="154">
        <v>15.5</v>
      </c>
      <c r="D81" s="154">
        <v>18.5</v>
      </c>
      <c r="E81" s="215" t="s">
        <v>455</v>
      </c>
      <c r="F81" s="215" t="s">
        <v>478</v>
      </c>
      <c r="G81" s="198">
        <v>3212</v>
      </c>
      <c r="H81" s="47">
        <v>0</v>
      </c>
      <c r="I81" s="181">
        <f t="shared" ref="I81" si="107">$B$2</f>
        <v>0</v>
      </c>
      <c r="J81" s="194">
        <f t="shared" ref="J81" si="108">G81*(1-I81)</f>
        <v>3212</v>
      </c>
      <c r="K81" s="212">
        <f t="shared" ref="K81" si="109">J81*H81</f>
        <v>0</v>
      </c>
      <c r="L81" s="72">
        <f>1338*305*885/1000000000</f>
        <v>0.36115965</v>
      </c>
      <c r="M81" s="85">
        <v>76</v>
      </c>
    </row>
    <row r="82" spans="1:13">
      <c r="A82" s="153"/>
      <c r="B82" s="25" t="s">
        <v>263</v>
      </c>
      <c r="C82" s="154">
        <v>12.5</v>
      </c>
      <c r="D82" s="154">
        <v>13.5</v>
      </c>
      <c r="E82" s="215"/>
      <c r="F82" s="215"/>
      <c r="G82" s="198">
        <f>D82*2.388</f>
        <v>32.238</v>
      </c>
      <c r="H82" s="50">
        <f t="shared" ref="H82" si="110">H81</f>
        <v>0</v>
      </c>
      <c r="I82" s="181"/>
      <c r="J82" s="194"/>
      <c r="K82" s="212"/>
      <c r="L82" s="72">
        <f>1113*453*1400/1000000000</f>
        <v>0.70586459999999995</v>
      </c>
      <c r="M82" s="85">
        <v>134</v>
      </c>
    </row>
    <row r="83" spans="1:13" ht="73.5" customHeight="1">
      <c r="A83" s="209" t="s">
        <v>3</v>
      </c>
      <c r="B83" s="209"/>
      <c r="C83" s="209"/>
      <c r="D83" s="210"/>
      <c r="E83" s="210"/>
      <c r="F83" s="210"/>
      <c r="G83" s="210"/>
      <c r="H83" s="210"/>
      <c r="I83" s="210"/>
      <c r="J83" s="210"/>
      <c r="K83" s="210"/>
      <c r="L83" s="210"/>
      <c r="M83" s="210"/>
    </row>
    <row r="84" spans="1:13">
      <c r="A84" s="153" t="s">
        <v>52</v>
      </c>
      <c r="B84" s="25" t="s">
        <v>264</v>
      </c>
      <c r="C84" s="154">
        <v>20</v>
      </c>
      <c r="D84" s="154">
        <v>22</v>
      </c>
      <c r="E84" s="215" t="s">
        <v>479</v>
      </c>
      <c r="F84" s="215" t="s">
        <v>487</v>
      </c>
      <c r="G84" s="198">
        <v>5163</v>
      </c>
      <c r="H84" s="47">
        <v>0</v>
      </c>
      <c r="I84" s="181">
        <f t="shared" si="99"/>
        <v>0</v>
      </c>
      <c r="J84" s="194">
        <f t="shared" ref="J84" si="111">G84*(1-I84)</f>
        <v>5163</v>
      </c>
      <c r="K84" s="212">
        <f>J84*H84</f>
        <v>0</v>
      </c>
      <c r="L84" s="72">
        <f>1546*886*485/1000000000</f>
        <v>0.66433165999999999</v>
      </c>
      <c r="M84" s="85">
        <v>109</v>
      </c>
    </row>
    <row r="85" spans="1:13">
      <c r="A85" s="153"/>
      <c r="B85" s="25" t="s">
        <v>280</v>
      </c>
      <c r="C85" s="154"/>
      <c r="D85" s="154"/>
      <c r="E85" s="215"/>
      <c r="F85" s="215"/>
      <c r="G85" s="198">
        <f>D85*2.388</f>
        <v>0</v>
      </c>
      <c r="H85" s="50">
        <f t="shared" ref="H85" si="112">H84</f>
        <v>0</v>
      </c>
      <c r="I85" s="181"/>
      <c r="J85" s="194"/>
      <c r="K85" s="212"/>
      <c r="L85" s="72">
        <f>1320*505*1490/1000000000</f>
        <v>0.99323399999999995</v>
      </c>
      <c r="M85" s="85">
        <v>174</v>
      </c>
    </row>
    <row r="86" spans="1:13">
      <c r="A86" s="153" t="s">
        <v>53</v>
      </c>
      <c r="B86" s="25" t="s">
        <v>265</v>
      </c>
      <c r="C86" s="154">
        <v>24.5</v>
      </c>
      <c r="D86" s="154">
        <v>27.5</v>
      </c>
      <c r="E86" s="215" t="s">
        <v>455</v>
      </c>
      <c r="F86" s="215" t="s">
        <v>490</v>
      </c>
      <c r="G86" s="198">
        <v>6242</v>
      </c>
      <c r="H86" s="47">
        <v>0</v>
      </c>
      <c r="I86" s="181">
        <f t="shared" si="99"/>
        <v>0</v>
      </c>
      <c r="J86" s="194">
        <f t="shared" ref="J86" si="113">G86*(1-I86)</f>
        <v>6242</v>
      </c>
      <c r="K86" s="212">
        <f>J86*H86</f>
        <v>0</v>
      </c>
      <c r="L86" s="72">
        <f>1843*688*1203/1000000000</f>
        <v>1.5253847519999999</v>
      </c>
      <c r="M86" s="85">
        <v>200</v>
      </c>
    </row>
    <row r="87" spans="1:13">
      <c r="A87" s="153"/>
      <c r="B87" s="25" t="s">
        <v>281</v>
      </c>
      <c r="C87" s="154"/>
      <c r="D87" s="154"/>
      <c r="E87" s="215"/>
      <c r="F87" s="215"/>
      <c r="G87" s="198">
        <f>D87*2.388</f>
        <v>0</v>
      </c>
      <c r="H87" s="50">
        <f t="shared" ref="H87" si="114">H86</f>
        <v>0</v>
      </c>
      <c r="I87" s="181"/>
      <c r="J87" s="194"/>
      <c r="K87" s="212"/>
      <c r="L87" s="72">
        <f>1320*505*1745/1000000000</f>
        <v>1.1632169999999999</v>
      </c>
      <c r="M87" s="85">
        <v>200</v>
      </c>
    </row>
    <row r="88" spans="1:13">
      <c r="A88" s="153" t="s">
        <v>54</v>
      </c>
      <c r="B88" s="25" t="s">
        <v>266</v>
      </c>
      <c r="C88" s="154">
        <v>30</v>
      </c>
      <c r="D88" s="154">
        <v>33</v>
      </c>
      <c r="E88" s="215" t="s">
        <v>489</v>
      </c>
      <c r="F88" s="215" t="s">
        <v>487</v>
      </c>
      <c r="G88" s="198">
        <v>7181</v>
      </c>
      <c r="H88" s="47">
        <v>0</v>
      </c>
      <c r="I88" s="181">
        <f t="shared" si="99"/>
        <v>0</v>
      </c>
      <c r="J88" s="194">
        <f t="shared" ref="J88" si="115">G88*(1-I88)</f>
        <v>7181</v>
      </c>
      <c r="K88" s="212">
        <f t="shared" ref="K88" si="116">J88*H88</f>
        <v>0</v>
      </c>
      <c r="L88" s="72">
        <f>1843*688*1203/1000000000</f>
        <v>1.5253847519999999</v>
      </c>
      <c r="M88" s="85">
        <v>206</v>
      </c>
    </row>
    <row r="89" spans="1:13">
      <c r="A89" s="153"/>
      <c r="B89" s="25" t="s">
        <v>282</v>
      </c>
      <c r="C89" s="154"/>
      <c r="D89" s="154"/>
      <c r="E89" s="215"/>
      <c r="F89" s="215"/>
      <c r="G89" s="198">
        <f>D89*2.388</f>
        <v>0</v>
      </c>
      <c r="H89" s="50">
        <f t="shared" ref="H89" si="117">H88</f>
        <v>0</v>
      </c>
      <c r="I89" s="181"/>
      <c r="J89" s="194"/>
      <c r="K89" s="212"/>
      <c r="L89" s="72">
        <f>1165*1965*983/1000000000</f>
        <v>2.2503081749999998</v>
      </c>
      <c r="M89" s="85">
        <v>248</v>
      </c>
    </row>
    <row r="90" spans="1:13">
      <c r="A90" s="153" t="s">
        <v>55</v>
      </c>
      <c r="B90" s="25" t="s">
        <v>267</v>
      </c>
      <c r="C90" s="154">
        <v>39.5</v>
      </c>
      <c r="D90" s="154">
        <v>42</v>
      </c>
      <c r="E90" s="215" t="s">
        <v>455</v>
      </c>
      <c r="F90" s="215" t="s">
        <v>463</v>
      </c>
      <c r="G90" s="198">
        <v>10299</v>
      </c>
      <c r="H90" s="47">
        <v>0</v>
      </c>
      <c r="I90" s="181">
        <f t="shared" si="99"/>
        <v>0</v>
      </c>
      <c r="J90" s="194">
        <f t="shared" ref="J90" si="118">G90*(1-I90)</f>
        <v>10299</v>
      </c>
      <c r="K90" s="212">
        <f t="shared" ref="K90" si="119">J90*H90</f>
        <v>0</v>
      </c>
      <c r="L90" s="72">
        <f>1893*850*1463/1000000000</f>
        <v>2.3540401499999999</v>
      </c>
      <c r="M90" s="85">
        <v>255</v>
      </c>
    </row>
    <row r="91" spans="1:13">
      <c r="A91" s="153"/>
      <c r="B91" s="25" t="s">
        <v>283</v>
      </c>
      <c r="C91" s="154"/>
      <c r="D91" s="154"/>
      <c r="E91" s="215"/>
      <c r="F91" s="215"/>
      <c r="G91" s="198">
        <f>D91*2.388</f>
        <v>0</v>
      </c>
      <c r="H91" s="50">
        <f t="shared" ref="H91" si="120">H90</f>
        <v>0</v>
      </c>
      <c r="I91" s="181"/>
      <c r="J91" s="194"/>
      <c r="K91" s="212"/>
      <c r="L91" s="72">
        <f>1373*1965*983/1000000000</f>
        <v>2.6520799350000002</v>
      </c>
      <c r="M91" s="85">
        <v>316</v>
      </c>
    </row>
    <row r="92" spans="1:13">
      <c r="A92" s="3"/>
      <c r="B92" s="29"/>
      <c r="C92" s="27"/>
      <c r="D92" s="28"/>
      <c r="E92" s="3"/>
    </row>
    <row r="93" spans="1:13">
      <c r="E93" s="1"/>
    </row>
    <row r="94" spans="1:13">
      <c r="E94" s="1"/>
    </row>
    <row r="95" spans="1:13">
      <c r="E95" s="1"/>
    </row>
    <row r="96" spans="1:13">
      <c r="E96" s="1"/>
    </row>
    <row r="97" spans="5:5">
      <c r="E97" s="1"/>
    </row>
    <row r="98" spans="5:5">
      <c r="E98" s="1"/>
    </row>
    <row r="99" spans="5:5">
      <c r="E99" s="1"/>
    </row>
    <row r="100" spans="5:5">
      <c r="E100" s="1"/>
    </row>
    <row r="101" spans="5:5">
      <c r="E101" s="1"/>
    </row>
    <row r="102" spans="5:5">
      <c r="E102" s="1"/>
    </row>
    <row r="103" spans="5:5">
      <c r="E103" s="1"/>
    </row>
    <row r="104" spans="5:5">
      <c r="E104" s="1"/>
    </row>
    <row r="105" spans="5:5">
      <c r="E105" s="1"/>
    </row>
    <row r="106" spans="5:5">
      <c r="E106" s="1"/>
    </row>
    <row r="107" spans="5:5">
      <c r="E107" s="1"/>
    </row>
    <row r="108" spans="5:5">
      <c r="E108" s="1"/>
    </row>
    <row r="109" spans="5:5">
      <c r="E109" s="1"/>
    </row>
    <row r="110" spans="5:5">
      <c r="E110" s="1"/>
    </row>
    <row r="111" spans="5:5">
      <c r="E111" s="1"/>
    </row>
    <row r="112" spans="5:5">
      <c r="E112" s="1"/>
    </row>
    <row r="113" spans="5:5">
      <c r="E113" s="1"/>
    </row>
    <row r="114" spans="5:5">
      <c r="E114" s="1"/>
    </row>
  </sheetData>
  <mergeCells count="337">
    <mergeCell ref="A41:C41"/>
    <mergeCell ref="C14:C16"/>
    <mergeCell ref="D14:D16"/>
    <mergeCell ref="E14:E16"/>
    <mergeCell ref="F14:F16"/>
    <mergeCell ref="A14:A16"/>
    <mergeCell ref="A17:A19"/>
    <mergeCell ref="A13:C13"/>
    <mergeCell ref="D13:M13"/>
    <mergeCell ref="I14:I16"/>
    <mergeCell ref="J14:J16"/>
    <mergeCell ref="K14:K16"/>
    <mergeCell ref="I17:I19"/>
    <mergeCell ref="J17:J19"/>
    <mergeCell ref="K17:K19"/>
    <mergeCell ref="A20:A22"/>
    <mergeCell ref="C20:C22"/>
    <mergeCell ref="D20:D22"/>
    <mergeCell ref="E20:E22"/>
    <mergeCell ref="F20:F22"/>
    <mergeCell ref="G20:G22"/>
    <mergeCell ref="I20:I22"/>
    <mergeCell ref="J20:J22"/>
    <mergeCell ref="K20:K22"/>
    <mergeCell ref="C17:C19"/>
    <mergeCell ref="D17:D19"/>
    <mergeCell ref="E17:E19"/>
    <mergeCell ref="F17:F19"/>
    <mergeCell ref="G17:G19"/>
    <mergeCell ref="A6:M6"/>
    <mergeCell ref="A7:A9"/>
    <mergeCell ref="G7:G9"/>
    <mergeCell ref="H7:H9"/>
    <mergeCell ref="I7:I9"/>
    <mergeCell ref="J7:J9"/>
    <mergeCell ref="K7:K9"/>
    <mergeCell ref="L7:L9"/>
    <mergeCell ref="M7:M9"/>
    <mergeCell ref="C7:D8"/>
    <mergeCell ref="E7:F8"/>
    <mergeCell ref="G14:G16"/>
    <mergeCell ref="E11:E12"/>
    <mergeCell ref="F11:F12"/>
    <mergeCell ref="G23:G25"/>
    <mergeCell ref="I23:I25"/>
    <mergeCell ref="J23:J25"/>
    <mergeCell ref="K23:K25"/>
    <mergeCell ref="A23:A25"/>
    <mergeCell ref="C23:C25"/>
    <mergeCell ref="D23:D25"/>
    <mergeCell ref="E23:E25"/>
    <mergeCell ref="F23:F25"/>
    <mergeCell ref="G26:G28"/>
    <mergeCell ref="I26:I28"/>
    <mergeCell ref="J26:J28"/>
    <mergeCell ref="K26:K28"/>
    <mergeCell ref="A26:A28"/>
    <mergeCell ref="C26:C28"/>
    <mergeCell ref="D26:D28"/>
    <mergeCell ref="E26:E28"/>
    <mergeCell ref="F26:F28"/>
    <mergeCell ref="G29:G31"/>
    <mergeCell ref="I29:I31"/>
    <mergeCell ref="J29:J31"/>
    <mergeCell ref="K29:K31"/>
    <mergeCell ref="A29:A31"/>
    <mergeCell ref="C29:C31"/>
    <mergeCell ref="D29:D31"/>
    <mergeCell ref="E29:E31"/>
    <mergeCell ref="F29:F31"/>
    <mergeCell ref="G32:G34"/>
    <mergeCell ref="I32:I34"/>
    <mergeCell ref="J32:J34"/>
    <mergeCell ref="K32:K34"/>
    <mergeCell ref="A32:A34"/>
    <mergeCell ref="C32:C34"/>
    <mergeCell ref="D32:D34"/>
    <mergeCell ref="E32:E34"/>
    <mergeCell ref="F32:F34"/>
    <mergeCell ref="G35:G37"/>
    <mergeCell ref="I35:I37"/>
    <mergeCell ref="J35:J37"/>
    <mergeCell ref="K35:K37"/>
    <mergeCell ref="A35:A37"/>
    <mergeCell ref="C35:C37"/>
    <mergeCell ref="D35:D37"/>
    <mergeCell ref="E35:E37"/>
    <mergeCell ref="F35:F37"/>
    <mergeCell ref="G38:G40"/>
    <mergeCell ref="I38:I40"/>
    <mergeCell ref="J38:J40"/>
    <mergeCell ref="K38:K40"/>
    <mergeCell ref="A38:A40"/>
    <mergeCell ref="C38:C40"/>
    <mergeCell ref="D38:D40"/>
    <mergeCell ref="E38:E40"/>
    <mergeCell ref="F38:F40"/>
    <mergeCell ref="G42:G43"/>
    <mergeCell ref="I42:I43"/>
    <mergeCell ref="J42:J43"/>
    <mergeCell ref="K42:K43"/>
    <mergeCell ref="A42:A43"/>
    <mergeCell ref="C42:C43"/>
    <mergeCell ref="D42:D43"/>
    <mergeCell ref="E42:E43"/>
    <mergeCell ref="F42:F43"/>
    <mergeCell ref="G44:G45"/>
    <mergeCell ref="I44:I45"/>
    <mergeCell ref="J44:J45"/>
    <mergeCell ref="K44:K45"/>
    <mergeCell ref="A44:A45"/>
    <mergeCell ref="C44:C45"/>
    <mergeCell ref="D44:D45"/>
    <mergeCell ref="E44:E45"/>
    <mergeCell ref="F44:F45"/>
    <mergeCell ref="G46:G47"/>
    <mergeCell ref="I46:I47"/>
    <mergeCell ref="J46:J47"/>
    <mergeCell ref="K46:K47"/>
    <mergeCell ref="A46:A47"/>
    <mergeCell ref="C46:C47"/>
    <mergeCell ref="D46:D47"/>
    <mergeCell ref="E46:E47"/>
    <mergeCell ref="F46:F47"/>
    <mergeCell ref="G48:G49"/>
    <mergeCell ref="I48:I49"/>
    <mergeCell ref="J48:J49"/>
    <mergeCell ref="K48:K49"/>
    <mergeCell ref="A48:A49"/>
    <mergeCell ref="C48:C49"/>
    <mergeCell ref="D48:D49"/>
    <mergeCell ref="E48:E49"/>
    <mergeCell ref="F48:F49"/>
    <mergeCell ref="G50:G51"/>
    <mergeCell ref="I50:I51"/>
    <mergeCell ref="J50:J51"/>
    <mergeCell ref="K50:K51"/>
    <mergeCell ref="A50:A51"/>
    <mergeCell ref="C50:C51"/>
    <mergeCell ref="D50:D51"/>
    <mergeCell ref="E50:E51"/>
    <mergeCell ref="F50:F51"/>
    <mergeCell ref="G52:G53"/>
    <mergeCell ref="I52:I53"/>
    <mergeCell ref="J52:J53"/>
    <mergeCell ref="K52:K53"/>
    <mergeCell ref="A52:A53"/>
    <mergeCell ref="C52:C53"/>
    <mergeCell ref="D52:D53"/>
    <mergeCell ref="E52:E53"/>
    <mergeCell ref="F52:F53"/>
    <mergeCell ref="G54:G55"/>
    <mergeCell ref="I54:I55"/>
    <mergeCell ref="J54:J55"/>
    <mergeCell ref="K54:K55"/>
    <mergeCell ref="A54:A55"/>
    <mergeCell ref="C54:C55"/>
    <mergeCell ref="D54:D55"/>
    <mergeCell ref="E54:E55"/>
    <mergeCell ref="F54:F55"/>
    <mergeCell ref="G56:G57"/>
    <mergeCell ref="I56:I57"/>
    <mergeCell ref="J56:J57"/>
    <mergeCell ref="K56:K57"/>
    <mergeCell ref="A56:A57"/>
    <mergeCell ref="C56:C57"/>
    <mergeCell ref="D56:D57"/>
    <mergeCell ref="E56:E57"/>
    <mergeCell ref="F56:F57"/>
    <mergeCell ref="G58:G59"/>
    <mergeCell ref="I58:I59"/>
    <mergeCell ref="J58:J59"/>
    <mergeCell ref="K58:K59"/>
    <mergeCell ref="A58:A59"/>
    <mergeCell ref="C58:C59"/>
    <mergeCell ref="D58:D59"/>
    <mergeCell ref="E58:E59"/>
    <mergeCell ref="F58:F59"/>
    <mergeCell ref="G60:G61"/>
    <mergeCell ref="I60:I61"/>
    <mergeCell ref="J60:J61"/>
    <mergeCell ref="K60:K61"/>
    <mergeCell ref="A60:A61"/>
    <mergeCell ref="C60:C61"/>
    <mergeCell ref="D60:D61"/>
    <mergeCell ref="E60:E61"/>
    <mergeCell ref="F60:F61"/>
    <mergeCell ref="G63:G64"/>
    <mergeCell ref="I63:I64"/>
    <mergeCell ref="J63:J64"/>
    <mergeCell ref="K63:K64"/>
    <mergeCell ref="A63:A64"/>
    <mergeCell ref="C63:C64"/>
    <mergeCell ref="D63:D64"/>
    <mergeCell ref="E63:E64"/>
    <mergeCell ref="F63:F64"/>
    <mergeCell ref="G65:G66"/>
    <mergeCell ref="I65:I66"/>
    <mergeCell ref="J65:J66"/>
    <mergeCell ref="K65:K66"/>
    <mergeCell ref="A65:A66"/>
    <mergeCell ref="C65:C66"/>
    <mergeCell ref="D65:D66"/>
    <mergeCell ref="E65:E66"/>
    <mergeCell ref="F65:F66"/>
    <mergeCell ref="G67:G68"/>
    <mergeCell ref="I67:I68"/>
    <mergeCell ref="J67:J68"/>
    <mergeCell ref="K67:K68"/>
    <mergeCell ref="A67:A68"/>
    <mergeCell ref="C67:C68"/>
    <mergeCell ref="D67:D68"/>
    <mergeCell ref="E67:E68"/>
    <mergeCell ref="F67:F68"/>
    <mergeCell ref="G69:G70"/>
    <mergeCell ref="I69:I70"/>
    <mergeCell ref="J69:J70"/>
    <mergeCell ref="K69:K70"/>
    <mergeCell ref="A69:A70"/>
    <mergeCell ref="C69:C70"/>
    <mergeCell ref="D69:D70"/>
    <mergeCell ref="E69:E70"/>
    <mergeCell ref="F69:F70"/>
    <mergeCell ref="G71:G72"/>
    <mergeCell ref="I71:I72"/>
    <mergeCell ref="J71:J72"/>
    <mergeCell ref="K71:K72"/>
    <mergeCell ref="A71:A72"/>
    <mergeCell ref="C71:C72"/>
    <mergeCell ref="D71:D72"/>
    <mergeCell ref="E71:E72"/>
    <mergeCell ref="F71:F72"/>
    <mergeCell ref="G73:G74"/>
    <mergeCell ref="I73:I74"/>
    <mergeCell ref="J73:J74"/>
    <mergeCell ref="K73:K74"/>
    <mergeCell ref="A73:A74"/>
    <mergeCell ref="C73:C74"/>
    <mergeCell ref="D73:D74"/>
    <mergeCell ref="E73:E74"/>
    <mergeCell ref="F73:F74"/>
    <mergeCell ref="G75:G76"/>
    <mergeCell ref="I75:I76"/>
    <mergeCell ref="J75:J76"/>
    <mergeCell ref="K75:K76"/>
    <mergeCell ref="A75:A76"/>
    <mergeCell ref="C75:C76"/>
    <mergeCell ref="D75:D76"/>
    <mergeCell ref="E75:E76"/>
    <mergeCell ref="F75:F76"/>
    <mergeCell ref="G77:G78"/>
    <mergeCell ref="I77:I78"/>
    <mergeCell ref="J77:J78"/>
    <mergeCell ref="K77:K78"/>
    <mergeCell ref="A77:A78"/>
    <mergeCell ref="C77:C78"/>
    <mergeCell ref="D77:D78"/>
    <mergeCell ref="E77:E78"/>
    <mergeCell ref="F77:F78"/>
    <mergeCell ref="G79:G80"/>
    <mergeCell ref="I79:I80"/>
    <mergeCell ref="J79:J80"/>
    <mergeCell ref="K79:K80"/>
    <mergeCell ref="A79:A80"/>
    <mergeCell ref="C79:C80"/>
    <mergeCell ref="D79:D80"/>
    <mergeCell ref="E79:E80"/>
    <mergeCell ref="F79:F80"/>
    <mergeCell ref="G81:G82"/>
    <mergeCell ref="I81:I82"/>
    <mergeCell ref="J81:J82"/>
    <mergeCell ref="K81:K82"/>
    <mergeCell ref="A81:A82"/>
    <mergeCell ref="C81:C82"/>
    <mergeCell ref="D81:D82"/>
    <mergeCell ref="E81:E82"/>
    <mergeCell ref="F81:F82"/>
    <mergeCell ref="A86:A87"/>
    <mergeCell ref="C86:C87"/>
    <mergeCell ref="D86:D87"/>
    <mergeCell ref="E86:E87"/>
    <mergeCell ref="F86:F87"/>
    <mergeCell ref="G84:G85"/>
    <mergeCell ref="I84:I85"/>
    <mergeCell ref="J84:J85"/>
    <mergeCell ref="K84:K85"/>
    <mergeCell ref="A84:A85"/>
    <mergeCell ref="C84:C85"/>
    <mergeCell ref="D84:D85"/>
    <mergeCell ref="E84:E85"/>
    <mergeCell ref="F84:F85"/>
    <mergeCell ref="G86:G87"/>
    <mergeCell ref="I86:I87"/>
    <mergeCell ref="J86:J87"/>
    <mergeCell ref="K86:K87"/>
    <mergeCell ref="G90:G91"/>
    <mergeCell ref="I90:I91"/>
    <mergeCell ref="J90:J91"/>
    <mergeCell ref="K90:K91"/>
    <mergeCell ref="A90:A91"/>
    <mergeCell ref="C90:C91"/>
    <mergeCell ref="D90:D91"/>
    <mergeCell ref="E90:E91"/>
    <mergeCell ref="F90:F91"/>
    <mergeCell ref="G88:G89"/>
    <mergeCell ref="I88:I89"/>
    <mergeCell ref="J88:J89"/>
    <mergeCell ref="K88:K89"/>
    <mergeCell ref="A88:A89"/>
    <mergeCell ref="C88:C89"/>
    <mergeCell ref="D88:D89"/>
    <mergeCell ref="E88:E89"/>
    <mergeCell ref="F88:F89"/>
    <mergeCell ref="H2:I2"/>
    <mergeCell ref="A62:C62"/>
    <mergeCell ref="D41:M41"/>
    <mergeCell ref="D62:M62"/>
    <mergeCell ref="D83:M83"/>
    <mergeCell ref="D10:M10"/>
    <mergeCell ref="K2:L2"/>
    <mergeCell ref="A4:C4"/>
    <mergeCell ref="E4:I4"/>
    <mergeCell ref="J4:M4"/>
    <mergeCell ref="B5:C5"/>
    <mergeCell ref="E5:I5"/>
    <mergeCell ref="J5:M5"/>
    <mergeCell ref="F2:G2"/>
    <mergeCell ref="C2:E2"/>
    <mergeCell ref="A83:C83"/>
    <mergeCell ref="A10:C10"/>
    <mergeCell ref="G11:G12"/>
    <mergeCell ref="I11:I12"/>
    <mergeCell ref="J11:J12"/>
    <mergeCell ref="K11:K12"/>
    <mergeCell ref="A11:A12"/>
    <mergeCell ref="C11:C12"/>
    <mergeCell ref="D11:D12"/>
  </mergeCells>
  <pageMargins left="0.23622047244094491" right="0.23622047244094491" top="0.74803149606299213" bottom="0.74803149606299213" header="0.31496062992125984" footer="0.31496062992125984"/>
  <pageSetup paperSize="8" scale="38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71635"/>
    <pageSetUpPr fitToPage="1"/>
  </sheetPr>
  <dimension ref="A1:U122"/>
  <sheetViews>
    <sheetView zoomScaleNormal="100" workbookViewId="0">
      <pane xSplit="1" topLeftCell="B1" activePane="topRight" state="frozen"/>
      <selection activeCell="B127" sqref="B127"/>
      <selection pane="topRight" activeCell="Q10" sqref="Q10"/>
    </sheetView>
  </sheetViews>
  <sheetFormatPr defaultRowHeight="15" customHeight="1"/>
  <cols>
    <col min="1" max="1" width="35.7109375" style="19" bestFit="1" customWidth="1"/>
    <col min="2" max="2" width="14.42578125" style="42" bestFit="1" customWidth="1"/>
    <col min="3" max="3" width="8.85546875" style="20" customWidth="1"/>
    <col min="4" max="4" width="9.7109375" style="21" bestFit="1" customWidth="1"/>
    <col min="5" max="5" width="12.5703125" style="22" customWidth="1"/>
    <col min="6" max="6" width="12.5703125" style="10" customWidth="1"/>
    <col min="7" max="7" width="12.5703125" style="10" bestFit="1" customWidth="1"/>
    <col min="8" max="8" width="9.140625" style="10" customWidth="1"/>
    <col min="9" max="9" width="8.42578125" style="10" customWidth="1"/>
    <col min="10" max="10" width="21.28515625" style="10" customWidth="1"/>
    <col min="11" max="11" width="16.7109375" style="10" customWidth="1"/>
    <col min="12" max="12" width="15.7109375" style="10" customWidth="1"/>
    <col min="13" max="13" width="20.7109375" style="10" customWidth="1"/>
    <col min="14" max="16384" width="9.140625" style="10"/>
  </cols>
  <sheetData>
    <row r="1" spans="1:21" s="3" customFormat="1" ht="157.5" customHeight="1">
      <c r="A1" s="1"/>
      <c r="B1" s="24"/>
      <c r="C1" s="1"/>
      <c r="D1" s="5"/>
      <c r="E1" s="1"/>
      <c r="F1" s="1"/>
      <c r="G1" s="5"/>
      <c r="H1" s="5"/>
      <c r="I1" s="5"/>
      <c r="J1" s="5"/>
      <c r="K1" s="5"/>
      <c r="L1" s="1"/>
      <c r="M1" s="1"/>
    </row>
    <row r="2" spans="1:21" s="64" customFormat="1" ht="22.5" customHeight="1">
      <c r="A2" s="56" t="s">
        <v>189</v>
      </c>
      <c r="B2" s="69">
        <v>0</v>
      </c>
      <c r="C2" s="211" t="s">
        <v>365</v>
      </c>
      <c r="D2" s="211"/>
      <c r="E2" s="211"/>
      <c r="F2" s="70">
        <f>SUM(K10:K12,K14:K16,K18:K22,K24:K31,K33:K42,K44:K69,K71:K81,K83:K99,K101:K109,K111:K114,K116:K122)</f>
        <v>0</v>
      </c>
      <c r="G2" s="168" t="s">
        <v>366</v>
      </c>
      <c r="H2" s="168"/>
      <c r="I2" s="168"/>
      <c r="J2" s="71">
        <f>SUMPRODUCT(H10:H12,L10:L12)+SUMPRODUCT(H14:H16,L14:L16)+SUMPRODUCT(H18:H22,L18:L22)+SUMPRODUCT(H24:H31,L24:L31)+SUMPRODUCT(H33:H42,L33:L42)+SUMPRODUCT(H44:H69,L44:L69)+SUMPRODUCT(H71:H81,L71:L81)+SUMPRODUCT(H83:H99,L83:L99)+SUMPRODUCT(H101:H109,L101:L109)+SUMPRODUCT(H111:H114,L111:L114)+SUMPRODUCT(H116:H122,L116:L122)</f>
        <v>0</v>
      </c>
      <c r="K2" s="168" t="s">
        <v>367</v>
      </c>
      <c r="L2" s="168"/>
      <c r="M2" s="71">
        <f>SUMPRODUCT(H10:H12,M10:M12)+SUMPRODUCT(H14:H16,M14:M16)+SUMPRODUCT(H18:H22,M18:M22)+SUMPRODUCT(H24:H31,M24:M31)+SUMPRODUCT(H33:H42,M33:M42)+SUMPRODUCT(H44:H69,M44:M69)+SUMPRODUCT(H71:H81,M71:M81)+SUMPRODUCT(H83:H99,M83:M99)+SUMPRODUCT(H101:H109,M101:M109)+SUMPRODUCT(H111:H114,M111:M114)+SUMPRODUCT(H116:H122,M116:M122)</f>
        <v>0</v>
      </c>
      <c r="N2" s="68"/>
    </row>
    <row r="3" spans="1:21" s="64" customFormat="1" ht="12.75" customHeight="1">
      <c r="A3" s="57"/>
      <c r="B3" s="58"/>
      <c r="C3" s="57"/>
      <c r="D3" s="57"/>
      <c r="E3" s="59"/>
      <c r="F3" s="60"/>
      <c r="G3" s="60"/>
      <c r="H3" s="60"/>
      <c r="I3" s="60"/>
      <c r="J3" s="61"/>
      <c r="K3" s="60"/>
      <c r="L3" s="60"/>
      <c r="M3" s="61"/>
      <c r="N3" s="65"/>
    </row>
    <row r="4" spans="1:21" s="64" customFormat="1" ht="24" customHeight="1">
      <c r="A4" s="157" t="s">
        <v>368</v>
      </c>
      <c r="B4" s="158"/>
      <c r="C4" s="159"/>
      <c r="D4" s="62" t="s">
        <v>369</v>
      </c>
      <c r="E4" s="160"/>
      <c r="F4" s="160"/>
      <c r="G4" s="160"/>
      <c r="H4" s="160"/>
      <c r="I4" s="161"/>
      <c r="J4" s="164" t="s">
        <v>370</v>
      </c>
      <c r="K4" s="165"/>
      <c r="L4" s="165"/>
      <c r="M4" s="165"/>
      <c r="N4" s="66"/>
    </row>
    <row r="5" spans="1:21" s="64" customFormat="1" ht="21.75" customHeight="1">
      <c r="A5" s="63" t="s">
        <v>371</v>
      </c>
      <c r="B5" s="162"/>
      <c r="C5" s="163"/>
      <c r="D5" s="62" t="s">
        <v>372</v>
      </c>
      <c r="E5" s="160"/>
      <c r="F5" s="160"/>
      <c r="G5" s="160"/>
      <c r="H5" s="160"/>
      <c r="I5" s="161"/>
      <c r="J5" s="164" t="s">
        <v>373</v>
      </c>
      <c r="K5" s="165"/>
      <c r="L5" s="165"/>
      <c r="M5" s="165"/>
      <c r="N5" s="66"/>
    </row>
    <row r="6" spans="1:21" ht="23.25" customHeight="1">
      <c r="A6" s="116" t="s">
        <v>375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</row>
    <row r="7" spans="1:21" ht="15" customHeight="1">
      <c r="A7" s="203" t="s">
        <v>190</v>
      </c>
      <c r="B7" s="38" t="s">
        <v>288</v>
      </c>
      <c r="C7" s="221" t="s">
        <v>191</v>
      </c>
      <c r="D7" s="222"/>
      <c r="E7" s="221" t="s">
        <v>192</v>
      </c>
      <c r="F7" s="222"/>
      <c r="G7" s="205" t="s">
        <v>203</v>
      </c>
      <c r="H7" s="205" t="s">
        <v>193</v>
      </c>
      <c r="I7" s="205" t="s">
        <v>189</v>
      </c>
      <c r="J7" s="233" t="s">
        <v>194</v>
      </c>
      <c r="K7" s="205" t="s">
        <v>195</v>
      </c>
      <c r="L7" s="205" t="s">
        <v>196</v>
      </c>
      <c r="M7" s="205" t="s">
        <v>197</v>
      </c>
    </row>
    <row r="8" spans="1:21" ht="15" customHeight="1">
      <c r="A8" s="203"/>
      <c r="B8" s="38" t="s">
        <v>220</v>
      </c>
      <c r="C8" s="39" t="s">
        <v>199</v>
      </c>
      <c r="D8" s="74" t="s">
        <v>200</v>
      </c>
      <c r="E8" s="74" t="s">
        <v>201</v>
      </c>
      <c r="F8" s="74" t="s">
        <v>202</v>
      </c>
      <c r="G8" s="206"/>
      <c r="H8" s="206"/>
      <c r="I8" s="206"/>
      <c r="J8" s="234"/>
      <c r="K8" s="206"/>
      <c r="L8" s="206"/>
      <c r="M8" s="206"/>
      <c r="N8" s="9"/>
      <c r="O8" s="9"/>
      <c r="P8" s="9"/>
      <c r="Q8" s="9"/>
      <c r="R8" s="9"/>
      <c r="S8" s="9"/>
      <c r="T8" s="9"/>
      <c r="U8" s="9"/>
    </row>
    <row r="9" spans="1:21" ht="15" customHeight="1">
      <c r="A9" s="231" t="s">
        <v>87</v>
      </c>
      <c r="B9" s="232"/>
      <c r="C9" s="232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15"/>
      <c r="O9" s="15"/>
      <c r="P9" s="15"/>
      <c r="Q9" s="9"/>
      <c r="R9" s="9"/>
      <c r="S9" s="9"/>
      <c r="T9" s="9"/>
      <c r="U9" s="9"/>
    </row>
    <row r="10" spans="1:21" ht="15" customHeight="1">
      <c r="A10" s="7" t="s">
        <v>88</v>
      </c>
      <c r="B10" s="8" t="s">
        <v>1</v>
      </c>
      <c r="C10" s="80">
        <v>12.1</v>
      </c>
      <c r="D10" s="80">
        <v>14</v>
      </c>
      <c r="E10" s="79" t="s">
        <v>389</v>
      </c>
      <c r="F10" s="79" t="s">
        <v>392</v>
      </c>
      <c r="G10" s="93">
        <v>5203.7999999999993</v>
      </c>
      <c r="H10" s="43">
        <v>0</v>
      </c>
      <c r="I10" s="44">
        <f>$B$2</f>
        <v>0</v>
      </c>
      <c r="J10" s="94">
        <f>G10*(1-I10)</f>
        <v>5203.7999999999993</v>
      </c>
      <c r="K10" s="40">
        <f>J10*H10</f>
        <v>0</v>
      </c>
      <c r="L10" s="77">
        <f>998*458*1515/1000000000</f>
        <v>0.69248226000000002</v>
      </c>
      <c r="M10" s="78">
        <v>120</v>
      </c>
      <c r="N10" s="16"/>
      <c r="O10" s="15"/>
      <c r="P10" s="16"/>
      <c r="Q10" s="9"/>
      <c r="R10" s="9"/>
      <c r="S10" s="9"/>
      <c r="T10" s="9"/>
      <c r="U10" s="9"/>
    </row>
    <row r="11" spans="1:21" ht="15" customHeight="1">
      <c r="A11" s="7" t="s">
        <v>89</v>
      </c>
      <c r="B11" s="8" t="s">
        <v>1</v>
      </c>
      <c r="C11" s="80">
        <v>14</v>
      </c>
      <c r="D11" s="80">
        <v>16.5</v>
      </c>
      <c r="E11" s="79" t="s">
        <v>390</v>
      </c>
      <c r="F11" s="79" t="s">
        <v>393</v>
      </c>
      <c r="G11" s="93">
        <v>5329.7999999999993</v>
      </c>
      <c r="H11" s="43">
        <v>0</v>
      </c>
      <c r="I11" s="45">
        <f t="shared" ref="I11:I31" si="0">$B$2</f>
        <v>0</v>
      </c>
      <c r="J11" s="94">
        <f t="shared" ref="J11:J12" si="1">G11*(1-I11)</f>
        <v>5329.7999999999993</v>
      </c>
      <c r="K11" s="40">
        <f t="shared" ref="K11:K12" si="2">J11*H11</f>
        <v>0</v>
      </c>
      <c r="L11" s="77">
        <f>998*458*1515/1000000000</f>
        <v>0.69248226000000002</v>
      </c>
      <c r="M11" s="78">
        <v>120</v>
      </c>
      <c r="N11" s="16"/>
      <c r="O11" s="15"/>
      <c r="P11" s="16"/>
      <c r="Q11" s="9"/>
      <c r="R11" s="9"/>
      <c r="S11" s="9"/>
      <c r="T11" s="9"/>
      <c r="U11" s="9"/>
    </row>
    <row r="12" spans="1:21" ht="15" customHeight="1">
      <c r="A12" s="7" t="s">
        <v>90</v>
      </c>
      <c r="B12" s="8" t="s">
        <v>1</v>
      </c>
      <c r="C12" s="80">
        <v>16</v>
      </c>
      <c r="D12" s="80">
        <v>18.5</v>
      </c>
      <c r="E12" s="79" t="s">
        <v>391</v>
      </c>
      <c r="F12" s="79" t="s">
        <v>394</v>
      </c>
      <c r="G12" s="93">
        <v>5737.2</v>
      </c>
      <c r="H12" s="43">
        <v>0</v>
      </c>
      <c r="I12" s="45">
        <f t="shared" si="0"/>
        <v>0</v>
      </c>
      <c r="J12" s="94">
        <f t="shared" si="1"/>
        <v>5737.2</v>
      </c>
      <c r="K12" s="40">
        <f t="shared" si="2"/>
        <v>0</v>
      </c>
      <c r="L12" s="77">
        <f>998*458*1515/1000000000</f>
        <v>0.69248226000000002</v>
      </c>
      <c r="M12" s="78">
        <v>120</v>
      </c>
      <c r="N12" s="16"/>
      <c r="O12" s="15"/>
      <c r="P12" s="16"/>
      <c r="Q12" s="9"/>
      <c r="R12" s="9"/>
      <c r="S12" s="9"/>
      <c r="T12" s="9"/>
      <c r="U12" s="9"/>
    </row>
    <row r="13" spans="1:21" ht="15" customHeight="1">
      <c r="A13" s="231" t="s">
        <v>157</v>
      </c>
      <c r="B13" s="232"/>
      <c r="C13" s="232"/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30"/>
      <c r="O13" s="30"/>
      <c r="P13" s="23"/>
      <c r="Q13" s="237"/>
      <c r="R13" s="237"/>
      <c r="S13" s="237"/>
      <c r="T13" s="9"/>
      <c r="U13" s="9"/>
    </row>
    <row r="14" spans="1:21" ht="15" customHeight="1">
      <c r="A14" s="7" t="s">
        <v>91</v>
      </c>
      <c r="B14" s="8" t="s">
        <v>1</v>
      </c>
      <c r="C14" s="80">
        <v>22.4</v>
      </c>
      <c r="D14" s="80">
        <v>25</v>
      </c>
      <c r="E14" s="79" t="s">
        <v>376</v>
      </c>
      <c r="F14" s="79" t="s">
        <v>377</v>
      </c>
      <c r="G14" s="93">
        <v>7450.7999999999993</v>
      </c>
      <c r="H14" s="43">
        <v>0</v>
      </c>
      <c r="I14" s="45">
        <f t="shared" si="0"/>
        <v>0</v>
      </c>
      <c r="J14" s="94">
        <f t="shared" ref="J14:J16" si="3">G14*(1-I14)</f>
        <v>7450.7999999999993</v>
      </c>
      <c r="K14" s="40">
        <f t="shared" ref="K14:K16" si="4">J14*H14</f>
        <v>0</v>
      </c>
      <c r="L14" s="77">
        <f>1183*505*1785/1000000000</f>
        <v>1.0663857750000001</v>
      </c>
      <c r="M14" s="78">
        <v>190</v>
      </c>
      <c r="N14" s="16"/>
      <c r="O14" s="15"/>
      <c r="P14" s="16"/>
      <c r="Q14" s="15"/>
      <c r="R14" s="16"/>
      <c r="S14" s="15"/>
      <c r="T14" s="16"/>
      <c r="U14" s="9"/>
    </row>
    <row r="15" spans="1:21" ht="15" customHeight="1">
      <c r="A15" s="7" t="s">
        <v>92</v>
      </c>
      <c r="B15" s="8" t="s">
        <v>1</v>
      </c>
      <c r="C15" s="80">
        <v>25</v>
      </c>
      <c r="D15" s="80">
        <v>28</v>
      </c>
      <c r="E15" s="79" t="s">
        <v>378</v>
      </c>
      <c r="F15" s="79">
        <v>3.81</v>
      </c>
      <c r="G15" s="93">
        <v>8181.5999999999995</v>
      </c>
      <c r="H15" s="43">
        <v>0</v>
      </c>
      <c r="I15" s="45">
        <f t="shared" si="0"/>
        <v>0</v>
      </c>
      <c r="J15" s="94">
        <f t="shared" si="3"/>
        <v>8181.5999999999995</v>
      </c>
      <c r="K15" s="40">
        <f t="shared" si="4"/>
        <v>0</v>
      </c>
      <c r="L15" s="77">
        <f>1183*505*1785/1000000000</f>
        <v>1.0663857750000001</v>
      </c>
      <c r="M15" s="78">
        <v>190</v>
      </c>
      <c r="N15" s="16"/>
      <c r="O15" s="15"/>
      <c r="P15" s="16"/>
      <c r="Q15" s="15"/>
      <c r="R15" s="16"/>
      <c r="S15" s="15"/>
      <c r="T15" s="16"/>
      <c r="U15" s="9"/>
    </row>
    <row r="16" spans="1:21" ht="15" customHeight="1">
      <c r="A16" s="7" t="s">
        <v>93</v>
      </c>
      <c r="B16" s="8" t="s">
        <v>1</v>
      </c>
      <c r="C16" s="80">
        <v>28</v>
      </c>
      <c r="D16" s="80">
        <v>30</v>
      </c>
      <c r="E16" s="79" t="s">
        <v>379</v>
      </c>
      <c r="F16" s="79">
        <v>3.68</v>
      </c>
      <c r="G16" s="93">
        <v>8757</v>
      </c>
      <c r="H16" s="43">
        <v>0</v>
      </c>
      <c r="I16" s="45">
        <f t="shared" si="0"/>
        <v>0</v>
      </c>
      <c r="J16" s="94">
        <f t="shared" si="3"/>
        <v>8757</v>
      </c>
      <c r="K16" s="40">
        <f t="shared" si="4"/>
        <v>0</v>
      </c>
      <c r="L16" s="77">
        <f>1183*505*1785/1000000000</f>
        <v>1.0663857750000001</v>
      </c>
      <c r="M16" s="78">
        <v>180</v>
      </c>
      <c r="N16" s="16"/>
      <c r="O16" s="15"/>
      <c r="P16" s="16"/>
      <c r="Q16" s="15"/>
      <c r="R16" s="16"/>
      <c r="S16" s="15"/>
      <c r="T16" s="16"/>
      <c r="U16" s="9"/>
    </row>
    <row r="17" spans="1:21" ht="15" customHeight="1">
      <c r="A17" s="231" t="s">
        <v>94</v>
      </c>
      <c r="B17" s="232"/>
      <c r="C17" s="232"/>
      <c r="D17" s="226"/>
      <c r="E17" s="226"/>
      <c r="F17" s="226"/>
      <c r="G17" s="226"/>
      <c r="H17" s="226"/>
      <c r="I17" s="226"/>
      <c r="J17" s="226"/>
      <c r="K17" s="226"/>
      <c r="L17" s="226"/>
      <c r="M17" s="226"/>
      <c r="N17" s="16"/>
      <c r="O17" s="15"/>
      <c r="P17" s="16"/>
      <c r="Q17" s="15"/>
      <c r="R17" s="16"/>
      <c r="S17" s="15"/>
      <c r="T17" s="16"/>
      <c r="U17" s="9"/>
    </row>
    <row r="18" spans="1:21" ht="15" customHeight="1">
      <c r="A18" s="7" t="s">
        <v>95</v>
      </c>
      <c r="B18" s="8" t="s">
        <v>1</v>
      </c>
      <c r="C18" s="80">
        <v>22.4</v>
      </c>
      <c r="D18" s="80">
        <v>25</v>
      </c>
      <c r="E18" s="79" t="s">
        <v>380</v>
      </c>
      <c r="F18" s="79" t="s">
        <v>384</v>
      </c>
      <c r="G18" s="93">
        <v>11986.8</v>
      </c>
      <c r="H18" s="43">
        <v>0</v>
      </c>
      <c r="I18" s="45">
        <f t="shared" si="0"/>
        <v>0</v>
      </c>
      <c r="J18" s="94">
        <f t="shared" ref="J18" si="5">G18*(1-I18)</f>
        <v>11986.8</v>
      </c>
      <c r="K18" s="40">
        <f t="shared" ref="K18" si="6">J18*H18</f>
        <v>0</v>
      </c>
      <c r="L18" s="77">
        <f>1010*840*1775/1000000000</f>
        <v>1.5059100000000001</v>
      </c>
      <c r="M18" s="78">
        <v>235</v>
      </c>
      <c r="N18" s="16"/>
      <c r="O18" s="15"/>
      <c r="P18" s="16"/>
      <c r="Q18" s="15"/>
      <c r="R18" s="16"/>
      <c r="S18" s="15"/>
      <c r="T18" s="16"/>
      <c r="U18" s="9"/>
    </row>
    <row r="19" spans="1:21" ht="15" customHeight="1">
      <c r="A19" s="7" t="s">
        <v>96</v>
      </c>
      <c r="B19" s="8" t="s">
        <v>1</v>
      </c>
      <c r="C19" s="80">
        <v>28</v>
      </c>
      <c r="D19" s="80">
        <v>31.5</v>
      </c>
      <c r="E19" s="79" t="s">
        <v>326</v>
      </c>
      <c r="F19" s="79" t="s">
        <v>385</v>
      </c>
      <c r="G19" s="93">
        <v>12331.199999999999</v>
      </c>
      <c r="H19" s="43">
        <v>0</v>
      </c>
      <c r="I19" s="45">
        <f t="shared" si="0"/>
        <v>0</v>
      </c>
      <c r="J19" s="94">
        <f t="shared" ref="J19:J22" si="7">G19*(1-I19)</f>
        <v>12331.199999999999</v>
      </c>
      <c r="K19" s="40">
        <f t="shared" ref="K19:K22" si="8">J19*H19</f>
        <v>0</v>
      </c>
      <c r="L19" s="77">
        <f>1420*840*1775/1000000000</f>
        <v>2.1172200000000001</v>
      </c>
      <c r="M19" s="78">
        <v>375</v>
      </c>
      <c r="N19" s="9"/>
      <c r="O19" s="9"/>
      <c r="P19" s="9"/>
      <c r="Q19" s="9"/>
      <c r="R19" s="9"/>
      <c r="S19" s="9"/>
      <c r="T19" s="9"/>
      <c r="U19" s="9"/>
    </row>
    <row r="20" spans="1:21" ht="15" customHeight="1">
      <c r="A20" s="7" t="s">
        <v>97</v>
      </c>
      <c r="B20" s="8" t="s">
        <v>1</v>
      </c>
      <c r="C20" s="80">
        <v>33.5</v>
      </c>
      <c r="D20" s="80">
        <v>37.5</v>
      </c>
      <c r="E20" s="79" t="s">
        <v>381</v>
      </c>
      <c r="F20" s="79" t="s">
        <v>386</v>
      </c>
      <c r="G20" s="93">
        <v>15531.599999999999</v>
      </c>
      <c r="H20" s="43">
        <v>0</v>
      </c>
      <c r="I20" s="45">
        <f t="shared" si="0"/>
        <v>0</v>
      </c>
      <c r="J20" s="94">
        <f t="shared" si="7"/>
        <v>15531.599999999999</v>
      </c>
      <c r="K20" s="40">
        <f t="shared" si="8"/>
        <v>0</v>
      </c>
      <c r="L20" s="77">
        <f>1420*840*1775/1000000000</f>
        <v>2.1172200000000001</v>
      </c>
      <c r="M20" s="78">
        <v>300</v>
      </c>
      <c r="N20" s="16"/>
      <c r="O20" s="15"/>
      <c r="P20" s="16"/>
      <c r="Q20" s="9"/>
      <c r="R20" s="9"/>
      <c r="S20" s="9"/>
      <c r="T20" s="9"/>
      <c r="U20" s="9"/>
    </row>
    <row r="21" spans="1:21" ht="15" customHeight="1">
      <c r="A21" s="7" t="s">
        <v>98</v>
      </c>
      <c r="B21" s="8" t="s">
        <v>1</v>
      </c>
      <c r="C21" s="80">
        <v>40</v>
      </c>
      <c r="D21" s="80">
        <v>45</v>
      </c>
      <c r="E21" s="79" t="s">
        <v>382</v>
      </c>
      <c r="F21" s="79" t="s">
        <v>387</v>
      </c>
      <c r="G21" s="93">
        <v>15779.399999999998</v>
      </c>
      <c r="H21" s="43">
        <v>0</v>
      </c>
      <c r="I21" s="45">
        <f t="shared" si="0"/>
        <v>0</v>
      </c>
      <c r="J21" s="94">
        <f t="shared" si="7"/>
        <v>15779.399999999998</v>
      </c>
      <c r="K21" s="40">
        <f t="shared" si="8"/>
        <v>0</v>
      </c>
      <c r="L21" s="77">
        <f>1010*840*1775/1000000000</f>
        <v>1.5059100000000001</v>
      </c>
      <c r="M21" s="78">
        <v>235</v>
      </c>
      <c r="N21" s="16"/>
      <c r="O21" s="15"/>
      <c r="P21" s="16"/>
      <c r="Q21" s="9"/>
      <c r="R21" s="9"/>
      <c r="S21" s="9"/>
      <c r="T21" s="9"/>
      <c r="U21" s="9"/>
    </row>
    <row r="22" spans="1:21" ht="15" customHeight="1">
      <c r="A22" s="7" t="s">
        <v>99</v>
      </c>
      <c r="B22" s="8" t="s">
        <v>1</v>
      </c>
      <c r="C22" s="80">
        <v>45</v>
      </c>
      <c r="D22" s="80">
        <v>50</v>
      </c>
      <c r="E22" s="79" t="s">
        <v>383</v>
      </c>
      <c r="F22" s="79" t="s">
        <v>388</v>
      </c>
      <c r="G22" s="93">
        <v>16501.8</v>
      </c>
      <c r="H22" s="43">
        <v>0</v>
      </c>
      <c r="I22" s="45">
        <f t="shared" si="0"/>
        <v>0</v>
      </c>
      <c r="J22" s="94">
        <f t="shared" si="7"/>
        <v>16501.8</v>
      </c>
      <c r="K22" s="40">
        <f t="shared" si="8"/>
        <v>0</v>
      </c>
      <c r="L22" s="77">
        <f>1420*840*1775/1000000000</f>
        <v>2.1172200000000001</v>
      </c>
      <c r="M22" s="78">
        <v>375</v>
      </c>
      <c r="N22" s="16"/>
      <c r="O22" s="15"/>
      <c r="P22" s="16"/>
      <c r="Q22" s="9"/>
      <c r="R22" s="9"/>
      <c r="S22" s="9"/>
      <c r="T22" s="9"/>
      <c r="U22" s="9"/>
    </row>
    <row r="23" spans="1:21" ht="15" customHeight="1">
      <c r="A23" s="231" t="s">
        <v>100</v>
      </c>
      <c r="B23" s="232"/>
      <c r="C23" s="232"/>
      <c r="D23" s="226"/>
      <c r="E23" s="226"/>
      <c r="F23" s="226"/>
      <c r="G23" s="226"/>
      <c r="H23" s="226"/>
      <c r="I23" s="226"/>
      <c r="J23" s="226"/>
      <c r="K23" s="226"/>
      <c r="L23" s="226"/>
      <c r="M23" s="226"/>
      <c r="N23" s="16"/>
      <c r="O23" s="15"/>
      <c r="P23" s="16"/>
      <c r="Q23" s="9"/>
      <c r="R23" s="9"/>
      <c r="S23" s="9"/>
      <c r="T23" s="9"/>
      <c r="U23" s="9"/>
    </row>
    <row r="24" spans="1:21" ht="15" customHeight="1">
      <c r="A24" s="7" t="s">
        <v>101</v>
      </c>
      <c r="B24" s="8" t="s">
        <v>1</v>
      </c>
      <c r="C24" s="80">
        <v>2.2000000000000002</v>
      </c>
      <c r="D24" s="80">
        <v>2.5</v>
      </c>
      <c r="E24" s="79" t="s">
        <v>1</v>
      </c>
      <c r="F24" s="79" t="s">
        <v>1</v>
      </c>
      <c r="G24" s="93">
        <v>562.79999999999995</v>
      </c>
      <c r="H24" s="43">
        <v>0</v>
      </c>
      <c r="I24" s="45">
        <f t="shared" si="0"/>
        <v>0</v>
      </c>
      <c r="J24" s="94">
        <f t="shared" ref="J24:J31" si="9">G24*(1-I24)</f>
        <v>562.79999999999995</v>
      </c>
      <c r="K24" s="40">
        <f t="shared" ref="K24:K31" si="10">J24*H24</f>
        <v>0</v>
      </c>
      <c r="L24" s="77">
        <f>973*258*370/1000000000</f>
        <v>9.2882580000000006E-2</v>
      </c>
      <c r="M24" s="78">
        <v>12.5</v>
      </c>
      <c r="N24" s="15"/>
      <c r="O24" s="15"/>
      <c r="P24" s="15"/>
      <c r="Q24" s="9"/>
      <c r="R24" s="9"/>
      <c r="S24" s="9"/>
      <c r="T24" s="9"/>
      <c r="U24" s="9"/>
    </row>
    <row r="25" spans="1:21" ht="15" customHeight="1">
      <c r="A25" s="7" t="s">
        <v>102</v>
      </c>
      <c r="B25" s="8" t="s">
        <v>1</v>
      </c>
      <c r="C25" s="80">
        <v>2.8</v>
      </c>
      <c r="D25" s="80">
        <v>3.2</v>
      </c>
      <c r="E25" s="79" t="s">
        <v>1</v>
      </c>
      <c r="F25" s="79" t="s">
        <v>1</v>
      </c>
      <c r="G25" s="93">
        <v>613.19999999999993</v>
      </c>
      <c r="H25" s="43">
        <v>0</v>
      </c>
      <c r="I25" s="45">
        <f t="shared" si="0"/>
        <v>0</v>
      </c>
      <c r="J25" s="94">
        <f t="shared" si="9"/>
        <v>613.19999999999993</v>
      </c>
      <c r="K25" s="40">
        <f t="shared" si="10"/>
        <v>0</v>
      </c>
      <c r="L25" s="77">
        <f>973*258*370/1000000000</f>
        <v>9.2882580000000006E-2</v>
      </c>
      <c r="M25" s="78">
        <v>12.5</v>
      </c>
      <c r="N25" s="16"/>
      <c r="O25" s="15"/>
      <c r="P25" s="16"/>
      <c r="Q25" s="9"/>
      <c r="R25" s="9"/>
      <c r="S25" s="9"/>
      <c r="T25" s="9"/>
      <c r="U25" s="9"/>
    </row>
    <row r="26" spans="1:21" ht="15" customHeight="1">
      <c r="A26" s="7" t="s">
        <v>103</v>
      </c>
      <c r="B26" s="8" t="s">
        <v>1</v>
      </c>
      <c r="C26" s="80">
        <v>3.6</v>
      </c>
      <c r="D26" s="80" t="s">
        <v>395</v>
      </c>
      <c r="E26" s="79" t="s">
        <v>1</v>
      </c>
      <c r="F26" s="79" t="s">
        <v>1</v>
      </c>
      <c r="G26" s="93">
        <v>642.59999999999991</v>
      </c>
      <c r="H26" s="43">
        <v>0</v>
      </c>
      <c r="I26" s="45">
        <f t="shared" si="0"/>
        <v>0</v>
      </c>
      <c r="J26" s="94">
        <f t="shared" si="9"/>
        <v>642.59999999999991</v>
      </c>
      <c r="K26" s="40">
        <f t="shared" si="10"/>
        <v>0</v>
      </c>
      <c r="L26" s="77">
        <f>1068*288*395/1000000000</f>
        <v>0.12149567999999999</v>
      </c>
      <c r="M26" s="78">
        <v>15</v>
      </c>
      <c r="N26" s="15"/>
      <c r="O26" s="15"/>
      <c r="P26" s="15"/>
      <c r="Q26" s="9"/>
      <c r="R26" s="9"/>
      <c r="S26" s="9"/>
      <c r="T26" s="9"/>
      <c r="U26" s="9"/>
    </row>
    <row r="27" spans="1:21" ht="15" customHeight="1">
      <c r="A27" s="7" t="s">
        <v>104</v>
      </c>
      <c r="B27" s="8" t="s">
        <v>1</v>
      </c>
      <c r="C27" s="80">
        <v>4.5</v>
      </c>
      <c r="D27" s="80">
        <v>5</v>
      </c>
      <c r="E27" s="79" t="s">
        <v>1</v>
      </c>
      <c r="F27" s="79" t="s">
        <v>1</v>
      </c>
      <c r="G27" s="93">
        <v>709.8</v>
      </c>
      <c r="H27" s="43">
        <v>0</v>
      </c>
      <c r="I27" s="45">
        <f t="shared" si="0"/>
        <v>0</v>
      </c>
      <c r="J27" s="94">
        <f t="shared" si="9"/>
        <v>709.8</v>
      </c>
      <c r="K27" s="40">
        <f t="shared" si="10"/>
        <v>0</v>
      </c>
      <c r="L27" s="77">
        <f>1068*288*395/1000000000</f>
        <v>0.12149567999999999</v>
      </c>
      <c r="M27" s="78">
        <v>15</v>
      </c>
      <c r="N27" s="16"/>
      <c r="O27" s="15"/>
      <c r="P27" s="16"/>
      <c r="Q27" s="9"/>
      <c r="R27" s="9"/>
      <c r="S27" s="9"/>
      <c r="T27" s="9"/>
      <c r="U27" s="9"/>
    </row>
    <row r="28" spans="1:21" ht="15" customHeight="1">
      <c r="A28" s="7" t="s">
        <v>105</v>
      </c>
      <c r="B28" s="8" t="s">
        <v>1</v>
      </c>
      <c r="C28" s="80">
        <v>5</v>
      </c>
      <c r="D28" s="80">
        <v>5.8</v>
      </c>
      <c r="E28" s="79" t="s">
        <v>1</v>
      </c>
      <c r="F28" s="79" t="s">
        <v>1</v>
      </c>
      <c r="G28" s="93">
        <v>755.99999999999989</v>
      </c>
      <c r="H28" s="43">
        <v>0</v>
      </c>
      <c r="I28" s="45">
        <f t="shared" si="0"/>
        <v>0</v>
      </c>
      <c r="J28" s="94">
        <f t="shared" si="9"/>
        <v>755.99999999999989</v>
      </c>
      <c r="K28" s="40">
        <f t="shared" si="10"/>
        <v>0</v>
      </c>
      <c r="L28" s="77">
        <f>1068*288*395/1000000000</f>
        <v>0.12149567999999999</v>
      </c>
      <c r="M28" s="78">
        <v>15</v>
      </c>
      <c r="N28" s="15"/>
      <c r="O28" s="15"/>
      <c r="P28" s="15"/>
      <c r="Q28" s="9"/>
      <c r="R28" s="9"/>
      <c r="S28" s="9"/>
      <c r="T28" s="9"/>
      <c r="U28" s="9"/>
    </row>
    <row r="29" spans="1:21" ht="15" customHeight="1">
      <c r="A29" s="7" t="s">
        <v>106</v>
      </c>
      <c r="B29" s="8" t="s">
        <v>1</v>
      </c>
      <c r="C29" s="80">
        <v>5.6</v>
      </c>
      <c r="D29" s="80">
        <v>6.3</v>
      </c>
      <c r="E29" s="79" t="s">
        <v>1</v>
      </c>
      <c r="F29" s="79" t="s">
        <v>1</v>
      </c>
      <c r="G29" s="93">
        <v>802.19999999999993</v>
      </c>
      <c r="H29" s="43">
        <v>0</v>
      </c>
      <c r="I29" s="45">
        <f t="shared" si="0"/>
        <v>0</v>
      </c>
      <c r="J29" s="94">
        <f t="shared" si="9"/>
        <v>802.19999999999993</v>
      </c>
      <c r="K29" s="40">
        <f t="shared" si="10"/>
        <v>0</v>
      </c>
      <c r="L29" s="77">
        <f>1131*398*328/1000000000</f>
        <v>0.147645264</v>
      </c>
      <c r="M29" s="78">
        <v>18.5</v>
      </c>
      <c r="N29" s="16"/>
      <c r="O29" s="15"/>
      <c r="P29" s="16"/>
      <c r="Q29" s="9"/>
      <c r="R29" s="9"/>
      <c r="S29" s="9"/>
      <c r="T29" s="9"/>
      <c r="U29" s="9"/>
    </row>
    <row r="30" spans="1:21" ht="15" customHeight="1">
      <c r="A30" s="7" t="s">
        <v>107</v>
      </c>
      <c r="B30" s="8" t="s">
        <v>1</v>
      </c>
      <c r="C30" s="80">
        <v>6.3</v>
      </c>
      <c r="D30" s="80">
        <v>7</v>
      </c>
      <c r="E30" s="79" t="s">
        <v>1</v>
      </c>
      <c r="F30" s="79" t="s">
        <v>1</v>
      </c>
      <c r="G30" s="93">
        <v>856.8</v>
      </c>
      <c r="H30" s="43">
        <v>0</v>
      </c>
      <c r="I30" s="45">
        <f t="shared" si="0"/>
        <v>0</v>
      </c>
      <c r="J30" s="94">
        <f t="shared" si="9"/>
        <v>856.8</v>
      </c>
      <c r="K30" s="40">
        <f t="shared" si="10"/>
        <v>0</v>
      </c>
      <c r="L30" s="77">
        <f>1131*398*328/1000000000</f>
        <v>0.147645264</v>
      </c>
      <c r="M30" s="78">
        <v>18.5</v>
      </c>
      <c r="N30" s="16"/>
      <c r="O30" s="15"/>
      <c r="P30" s="16"/>
      <c r="Q30" s="9"/>
      <c r="R30" s="9"/>
      <c r="S30" s="9"/>
      <c r="T30" s="9"/>
      <c r="U30" s="9"/>
    </row>
    <row r="31" spans="1:21" ht="15" customHeight="1">
      <c r="A31" s="7" t="s">
        <v>108</v>
      </c>
      <c r="B31" s="8" t="s">
        <v>1</v>
      </c>
      <c r="C31" s="80">
        <v>7.1</v>
      </c>
      <c r="D31" s="80">
        <v>7.5</v>
      </c>
      <c r="E31" s="79" t="s">
        <v>1</v>
      </c>
      <c r="F31" s="79" t="s">
        <v>1</v>
      </c>
      <c r="G31" s="93">
        <v>961.8</v>
      </c>
      <c r="H31" s="43">
        <v>0</v>
      </c>
      <c r="I31" s="45">
        <f t="shared" si="0"/>
        <v>0</v>
      </c>
      <c r="J31" s="94">
        <f t="shared" si="9"/>
        <v>961.8</v>
      </c>
      <c r="K31" s="40">
        <f t="shared" si="10"/>
        <v>0</v>
      </c>
      <c r="L31" s="77">
        <f>1131*398*328/1000000000</f>
        <v>0.147645264</v>
      </c>
      <c r="M31" s="78">
        <v>18.5</v>
      </c>
      <c r="N31" s="16"/>
      <c r="O31" s="15"/>
      <c r="P31" s="16"/>
      <c r="Q31" s="9"/>
      <c r="R31" s="9"/>
      <c r="S31" s="9"/>
      <c r="T31" s="9"/>
      <c r="U31" s="9"/>
    </row>
    <row r="32" spans="1:21" ht="15" customHeight="1">
      <c r="A32" s="231" t="s">
        <v>109</v>
      </c>
      <c r="B32" s="232"/>
      <c r="C32" s="232"/>
      <c r="D32" s="226"/>
      <c r="E32" s="226"/>
      <c r="F32" s="226"/>
      <c r="G32" s="226"/>
      <c r="H32" s="226"/>
      <c r="I32" s="226"/>
      <c r="J32" s="226"/>
      <c r="K32" s="226"/>
      <c r="L32" s="226"/>
      <c r="M32" s="226"/>
      <c r="N32" s="16"/>
      <c r="O32" s="15"/>
      <c r="P32" s="16"/>
      <c r="Q32" s="9"/>
      <c r="R32" s="9"/>
      <c r="S32" s="9"/>
      <c r="T32" s="9"/>
      <c r="U32" s="9"/>
    </row>
    <row r="33" spans="1:21" ht="15" customHeight="1">
      <c r="A33" s="153" t="s">
        <v>168</v>
      </c>
      <c r="B33" s="8" t="s">
        <v>291</v>
      </c>
      <c r="C33" s="154">
        <v>2.2000000000000002</v>
      </c>
      <c r="D33" s="154">
        <v>2.5</v>
      </c>
      <c r="E33" s="229" t="s">
        <v>1</v>
      </c>
      <c r="F33" s="229" t="s">
        <v>1</v>
      </c>
      <c r="G33" s="198">
        <v>987</v>
      </c>
      <c r="H33" s="76">
        <v>0</v>
      </c>
      <c r="I33" s="227">
        <f>$B$2</f>
        <v>0</v>
      </c>
      <c r="J33" s="228">
        <f t="shared" ref="J33" si="11">G33*(1-I33)</f>
        <v>987</v>
      </c>
      <c r="K33" s="195">
        <f t="shared" ref="K33" si="12">J33*H33</f>
        <v>0</v>
      </c>
      <c r="L33" s="77">
        <f>773*773*300/1000000000</f>
        <v>0.17925869999999999</v>
      </c>
      <c r="M33" s="78">
        <v>25.5</v>
      </c>
      <c r="N33" s="16"/>
      <c r="O33" s="15"/>
      <c r="P33" s="16"/>
      <c r="Q33" s="9"/>
      <c r="R33" s="9"/>
      <c r="S33" s="9"/>
      <c r="T33" s="9"/>
      <c r="U33" s="9"/>
    </row>
    <row r="34" spans="1:21" ht="15" customHeight="1">
      <c r="A34" s="153"/>
      <c r="B34" s="8" t="s">
        <v>289</v>
      </c>
      <c r="C34" s="154"/>
      <c r="D34" s="154"/>
      <c r="E34" s="230"/>
      <c r="F34" s="230"/>
      <c r="G34" s="198"/>
      <c r="H34" s="46">
        <f>H33</f>
        <v>0</v>
      </c>
      <c r="I34" s="227"/>
      <c r="J34" s="228"/>
      <c r="K34" s="195"/>
      <c r="L34" s="77">
        <f>763*763*105/1000000000</f>
        <v>6.1127744999999997E-2</v>
      </c>
      <c r="M34" s="78">
        <v>5</v>
      </c>
      <c r="N34" s="16"/>
      <c r="O34" s="15"/>
      <c r="P34" s="16"/>
      <c r="Q34" s="9"/>
      <c r="R34" s="9"/>
      <c r="S34" s="9"/>
      <c r="T34" s="9"/>
      <c r="U34" s="9"/>
    </row>
    <row r="35" spans="1:21" ht="15" customHeight="1">
      <c r="A35" s="153" t="s">
        <v>169</v>
      </c>
      <c r="B35" s="8" t="s">
        <v>292</v>
      </c>
      <c r="C35" s="154">
        <v>2.8</v>
      </c>
      <c r="D35" s="154">
        <v>3.2</v>
      </c>
      <c r="E35" s="229" t="s">
        <v>1</v>
      </c>
      <c r="F35" s="229" t="s">
        <v>1</v>
      </c>
      <c r="G35" s="198">
        <v>1041.5999999999999</v>
      </c>
      <c r="H35" s="76">
        <v>0</v>
      </c>
      <c r="I35" s="227">
        <f>$B$2</f>
        <v>0</v>
      </c>
      <c r="J35" s="228">
        <f t="shared" ref="J35" si="13">G35*(1-I35)</f>
        <v>1041.5999999999999</v>
      </c>
      <c r="K35" s="195">
        <f t="shared" ref="K35" si="14">J35*H35</f>
        <v>0</v>
      </c>
      <c r="L35" s="77">
        <f>773*773*300/1000000000</f>
        <v>0.17925869999999999</v>
      </c>
      <c r="M35" s="78">
        <v>25.5</v>
      </c>
      <c r="N35" s="16"/>
      <c r="O35" s="15"/>
      <c r="P35" s="16"/>
      <c r="Q35" s="9"/>
      <c r="R35" s="9"/>
      <c r="S35" s="9"/>
      <c r="T35" s="9"/>
      <c r="U35" s="9"/>
    </row>
    <row r="36" spans="1:21" ht="15" customHeight="1">
      <c r="A36" s="153"/>
      <c r="B36" s="8" t="s">
        <v>289</v>
      </c>
      <c r="C36" s="154"/>
      <c r="D36" s="154"/>
      <c r="E36" s="230"/>
      <c r="F36" s="230"/>
      <c r="G36" s="198"/>
      <c r="H36" s="46">
        <f>H35</f>
        <v>0</v>
      </c>
      <c r="I36" s="227"/>
      <c r="J36" s="228"/>
      <c r="K36" s="195"/>
      <c r="L36" s="77">
        <f>763*763*105/1000000000</f>
        <v>6.1127744999999997E-2</v>
      </c>
      <c r="M36" s="78">
        <v>5</v>
      </c>
      <c r="N36" s="16"/>
      <c r="O36" s="15"/>
      <c r="P36" s="16"/>
      <c r="Q36" s="9"/>
      <c r="R36" s="9"/>
      <c r="S36" s="9"/>
      <c r="T36" s="9"/>
      <c r="U36" s="9"/>
    </row>
    <row r="37" spans="1:21" ht="15" customHeight="1">
      <c r="A37" s="153" t="s">
        <v>170</v>
      </c>
      <c r="B37" s="8" t="s">
        <v>293</v>
      </c>
      <c r="C37" s="154">
        <v>3.6</v>
      </c>
      <c r="D37" s="154">
        <v>4</v>
      </c>
      <c r="E37" s="229" t="s">
        <v>1</v>
      </c>
      <c r="F37" s="229" t="s">
        <v>1</v>
      </c>
      <c r="G37" s="198">
        <v>1083.5999999999999</v>
      </c>
      <c r="H37" s="76">
        <v>0</v>
      </c>
      <c r="I37" s="227">
        <f>$B$2</f>
        <v>0</v>
      </c>
      <c r="J37" s="228">
        <f t="shared" ref="J37" si="15">G37*(1-I37)</f>
        <v>1083.5999999999999</v>
      </c>
      <c r="K37" s="195">
        <f t="shared" ref="K37" si="16">J37*H37</f>
        <v>0</v>
      </c>
      <c r="L37" s="77">
        <f>773*773*300/1000000000</f>
        <v>0.17925869999999999</v>
      </c>
      <c r="M37" s="78">
        <v>25.5</v>
      </c>
      <c r="N37" s="16"/>
      <c r="O37" s="15"/>
      <c r="P37" s="16"/>
      <c r="Q37" s="9"/>
      <c r="R37" s="9"/>
      <c r="S37" s="9"/>
      <c r="T37" s="9"/>
      <c r="U37" s="9"/>
    </row>
    <row r="38" spans="1:21" ht="15" customHeight="1">
      <c r="A38" s="153"/>
      <c r="B38" s="8" t="s">
        <v>289</v>
      </c>
      <c r="C38" s="154"/>
      <c r="D38" s="154"/>
      <c r="E38" s="230"/>
      <c r="F38" s="230"/>
      <c r="G38" s="198"/>
      <c r="H38" s="46">
        <f>H37</f>
        <v>0</v>
      </c>
      <c r="I38" s="227"/>
      <c r="J38" s="228"/>
      <c r="K38" s="195"/>
      <c r="L38" s="77">
        <f>763*763*105/1000000000</f>
        <v>6.1127744999999997E-2</v>
      </c>
      <c r="M38" s="78">
        <v>5</v>
      </c>
      <c r="N38" s="16"/>
      <c r="O38" s="15"/>
      <c r="P38" s="16"/>
      <c r="Q38" s="9"/>
      <c r="R38" s="9"/>
      <c r="S38" s="9"/>
      <c r="T38" s="9"/>
      <c r="U38" s="9"/>
    </row>
    <row r="39" spans="1:21" ht="15" customHeight="1">
      <c r="A39" s="153" t="s">
        <v>171</v>
      </c>
      <c r="B39" s="8" t="s">
        <v>294</v>
      </c>
      <c r="C39" s="154">
        <v>4.5</v>
      </c>
      <c r="D39" s="154">
        <v>5</v>
      </c>
      <c r="E39" s="229" t="s">
        <v>1</v>
      </c>
      <c r="F39" s="229" t="s">
        <v>1</v>
      </c>
      <c r="G39" s="198">
        <v>1134</v>
      </c>
      <c r="H39" s="76">
        <v>0</v>
      </c>
      <c r="I39" s="227">
        <f>$B$2</f>
        <v>0</v>
      </c>
      <c r="J39" s="228">
        <f t="shared" ref="J39" si="17">G39*(1-I39)</f>
        <v>1134</v>
      </c>
      <c r="K39" s="195">
        <f t="shared" ref="K39" si="18">J39*H39</f>
        <v>0</v>
      </c>
      <c r="L39" s="77">
        <f>773*773*300/1000000000</f>
        <v>0.17925869999999999</v>
      </c>
      <c r="M39" s="78">
        <v>25.5</v>
      </c>
      <c r="N39" s="16"/>
      <c r="O39" s="15"/>
      <c r="P39" s="16"/>
      <c r="Q39" s="9"/>
      <c r="R39" s="9"/>
      <c r="S39" s="9"/>
      <c r="T39" s="9"/>
      <c r="U39" s="9"/>
    </row>
    <row r="40" spans="1:21" ht="15" customHeight="1">
      <c r="A40" s="153"/>
      <c r="B40" s="8" t="s">
        <v>289</v>
      </c>
      <c r="C40" s="154"/>
      <c r="D40" s="154"/>
      <c r="E40" s="230"/>
      <c r="F40" s="230"/>
      <c r="G40" s="198"/>
      <c r="H40" s="46">
        <f>H39</f>
        <v>0</v>
      </c>
      <c r="I40" s="227"/>
      <c r="J40" s="228"/>
      <c r="K40" s="195"/>
      <c r="L40" s="77">
        <f>763*763*105/1000000000</f>
        <v>6.1127744999999997E-2</v>
      </c>
      <c r="M40" s="78">
        <v>5</v>
      </c>
      <c r="N40" s="16"/>
      <c r="O40" s="15"/>
      <c r="P40" s="16"/>
      <c r="Q40" s="9"/>
      <c r="R40" s="9"/>
      <c r="S40" s="9"/>
      <c r="T40" s="9"/>
      <c r="U40" s="9"/>
    </row>
    <row r="41" spans="1:21" ht="15" customHeight="1">
      <c r="A41" s="153" t="s">
        <v>172</v>
      </c>
      <c r="B41" s="8" t="s">
        <v>295</v>
      </c>
      <c r="C41" s="154">
        <v>5</v>
      </c>
      <c r="D41" s="154">
        <v>5.6</v>
      </c>
      <c r="E41" s="229" t="s">
        <v>1</v>
      </c>
      <c r="F41" s="229" t="s">
        <v>1</v>
      </c>
      <c r="G41" s="198">
        <v>1167.5999999999999</v>
      </c>
      <c r="H41" s="76">
        <v>0</v>
      </c>
      <c r="I41" s="227">
        <f>$B$2</f>
        <v>0</v>
      </c>
      <c r="J41" s="228">
        <f t="shared" ref="J41" si="19">G41*(1-I41)</f>
        <v>1167.5999999999999</v>
      </c>
      <c r="K41" s="195">
        <f t="shared" ref="K41" si="20">J41*H41</f>
        <v>0</v>
      </c>
      <c r="L41" s="77">
        <f>773*773*300/1000000000</f>
        <v>0.17925869999999999</v>
      </c>
      <c r="M41" s="78">
        <v>25.5</v>
      </c>
      <c r="N41" s="16"/>
      <c r="O41" s="15"/>
      <c r="P41" s="16"/>
      <c r="Q41" s="9"/>
      <c r="R41" s="9"/>
      <c r="S41" s="9"/>
      <c r="T41" s="9"/>
      <c r="U41" s="9"/>
    </row>
    <row r="42" spans="1:21" ht="15" customHeight="1">
      <c r="A42" s="153"/>
      <c r="B42" s="8" t="s">
        <v>289</v>
      </c>
      <c r="C42" s="154"/>
      <c r="D42" s="154"/>
      <c r="E42" s="230"/>
      <c r="F42" s="230"/>
      <c r="G42" s="198"/>
      <c r="H42" s="46">
        <f>H41</f>
        <v>0</v>
      </c>
      <c r="I42" s="227"/>
      <c r="J42" s="228"/>
      <c r="K42" s="195"/>
      <c r="L42" s="77">
        <f>763*763*105/1000000000</f>
        <v>6.1127744999999997E-2</v>
      </c>
      <c r="M42" s="78">
        <v>5</v>
      </c>
      <c r="N42" s="16"/>
      <c r="O42" s="15"/>
      <c r="P42" s="16"/>
      <c r="Q42" s="9"/>
      <c r="R42" s="9"/>
      <c r="S42" s="9"/>
      <c r="T42" s="9"/>
      <c r="U42" s="9"/>
    </row>
    <row r="43" spans="1:21" ht="15" customHeight="1">
      <c r="A43" s="231" t="s">
        <v>110</v>
      </c>
      <c r="B43" s="232"/>
      <c r="C43" s="232"/>
      <c r="D43" s="226"/>
      <c r="E43" s="226"/>
      <c r="F43" s="226"/>
      <c r="G43" s="226"/>
      <c r="H43" s="226"/>
      <c r="I43" s="226"/>
      <c r="J43" s="226"/>
      <c r="K43" s="226"/>
      <c r="L43" s="226"/>
      <c r="M43" s="226"/>
      <c r="N43" s="16"/>
      <c r="O43" s="15"/>
      <c r="P43" s="16"/>
      <c r="Q43" s="9"/>
      <c r="R43" s="9"/>
      <c r="S43" s="9"/>
      <c r="T43" s="9"/>
      <c r="U43" s="9"/>
    </row>
    <row r="44" spans="1:21" ht="15" customHeight="1">
      <c r="A44" s="153" t="s">
        <v>173</v>
      </c>
      <c r="B44" s="8" t="s">
        <v>296</v>
      </c>
      <c r="C44" s="154">
        <v>2.8</v>
      </c>
      <c r="D44" s="154">
        <v>3.2</v>
      </c>
      <c r="E44" s="229" t="s">
        <v>1</v>
      </c>
      <c r="F44" s="229" t="s">
        <v>1</v>
      </c>
      <c r="G44" s="198">
        <v>1255.8</v>
      </c>
      <c r="H44" s="76">
        <v>0</v>
      </c>
      <c r="I44" s="227">
        <f>$B$2</f>
        <v>0</v>
      </c>
      <c r="J44" s="228">
        <f t="shared" ref="J44" si="21">G44*(1-I44)</f>
        <v>1255.8</v>
      </c>
      <c r="K44" s="195">
        <f t="shared" ref="K44" si="22">J44*H44</f>
        <v>0</v>
      </c>
      <c r="L44" s="77">
        <f>963*963*272/1000000000</f>
        <v>0.252244368</v>
      </c>
      <c r="M44" s="78">
        <v>29.5</v>
      </c>
      <c r="N44" s="16"/>
      <c r="O44" s="15"/>
      <c r="P44" s="16"/>
      <c r="Q44" s="9"/>
      <c r="R44" s="9"/>
      <c r="S44" s="9"/>
      <c r="T44" s="9"/>
      <c r="U44" s="9"/>
    </row>
    <row r="45" spans="1:21" ht="15" customHeight="1">
      <c r="A45" s="153"/>
      <c r="B45" s="8" t="s">
        <v>290</v>
      </c>
      <c r="C45" s="154"/>
      <c r="D45" s="154"/>
      <c r="E45" s="230"/>
      <c r="F45" s="230"/>
      <c r="G45" s="198"/>
      <c r="H45" s="46">
        <f>H44</f>
        <v>0</v>
      </c>
      <c r="I45" s="227"/>
      <c r="J45" s="228"/>
      <c r="K45" s="195"/>
      <c r="L45" s="77">
        <f>1033*1038*133/1000000000</f>
        <v>0.14260978199999999</v>
      </c>
      <c r="M45" s="78">
        <v>11</v>
      </c>
      <c r="N45" s="16"/>
      <c r="O45" s="15"/>
      <c r="P45" s="16"/>
      <c r="Q45" s="9"/>
      <c r="R45" s="9"/>
      <c r="S45" s="9"/>
      <c r="T45" s="9"/>
      <c r="U45" s="9"/>
    </row>
    <row r="46" spans="1:21" ht="15" customHeight="1">
      <c r="A46" s="153" t="s">
        <v>174</v>
      </c>
      <c r="B46" s="8" t="s">
        <v>296</v>
      </c>
      <c r="C46" s="154">
        <v>3.6</v>
      </c>
      <c r="D46" s="154">
        <v>4</v>
      </c>
      <c r="E46" s="229" t="s">
        <v>1</v>
      </c>
      <c r="F46" s="229" t="s">
        <v>1</v>
      </c>
      <c r="G46" s="198">
        <v>1285.1999999999998</v>
      </c>
      <c r="H46" s="76">
        <v>0</v>
      </c>
      <c r="I46" s="227">
        <f>$B$2</f>
        <v>0</v>
      </c>
      <c r="J46" s="228">
        <f t="shared" ref="J46" si="23">G46*(1-I46)</f>
        <v>1285.1999999999998</v>
      </c>
      <c r="K46" s="195">
        <f t="shared" ref="K46" si="24">J46*H46</f>
        <v>0</v>
      </c>
      <c r="L46" s="77">
        <f>963*963*272/1000000000</f>
        <v>0.252244368</v>
      </c>
      <c r="M46" s="78">
        <v>29.5</v>
      </c>
      <c r="N46" s="16"/>
      <c r="O46" s="15"/>
      <c r="P46" s="16"/>
      <c r="Q46" s="9"/>
      <c r="R46" s="9"/>
      <c r="S46" s="9"/>
      <c r="T46" s="9"/>
      <c r="U46" s="9"/>
    </row>
    <row r="47" spans="1:21" ht="15" customHeight="1">
      <c r="A47" s="153"/>
      <c r="B47" s="8" t="s">
        <v>290</v>
      </c>
      <c r="C47" s="154"/>
      <c r="D47" s="154"/>
      <c r="E47" s="230"/>
      <c r="F47" s="230"/>
      <c r="G47" s="198"/>
      <c r="H47" s="46">
        <f t="shared" ref="H47" si="25">H46</f>
        <v>0</v>
      </c>
      <c r="I47" s="227"/>
      <c r="J47" s="228"/>
      <c r="K47" s="195"/>
      <c r="L47" s="77">
        <f>1033*1038*133/1000000000</f>
        <v>0.14260978199999999</v>
      </c>
      <c r="M47" s="78">
        <v>11</v>
      </c>
      <c r="N47" s="16"/>
      <c r="O47" s="15"/>
      <c r="P47" s="16"/>
      <c r="Q47" s="9"/>
      <c r="R47" s="9"/>
      <c r="S47" s="9"/>
      <c r="T47" s="9"/>
      <c r="U47" s="9"/>
    </row>
    <row r="48" spans="1:21" ht="15" customHeight="1">
      <c r="A48" s="153" t="s">
        <v>175</v>
      </c>
      <c r="B48" s="8" t="s">
        <v>297</v>
      </c>
      <c r="C48" s="154">
        <v>4</v>
      </c>
      <c r="D48" s="154">
        <v>5</v>
      </c>
      <c r="E48" s="229" t="s">
        <v>1</v>
      </c>
      <c r="F48" s="229" t="s">
        <v>1</v>
      </c>
      <c r="G48" s="198">
        <v>1293.5999999999999</v>
      </c>
      <c r="H48" s="76">
        <v>0</v>
      </c>
      <c r="I48" s="227">
        <f t="shared" ref="I48" si="26">$B$2</f>
        <v>0</v>
      </c>
      <c r="J48" s="228">
        <f t="shared" ref="J48" si="27">G48*(1-I48)</f>
        <v>1293.5999999999999</v>
      </c>
      <c r="K48" s="195">
        <f t="shared" ref="K48" si="28">J48*H48</f>
        <v>0</v>
      </c>
      <c r="L48" s="77">
        <f>963*963*272/1000000000</f>
        <v>0.252244368</v>
      </c>
      <c r="M48" s="78">
        <v>29.5</v>
      </c>
      <c r="N48" s="15"/>
      <c r="O48" s="15"/>
      <c r="P48" s="15"/>
      <c r="Q48" s="9"/>
      <c r="R48" s="9"/>
      <c r="S48" s="9"/>
      <c r="T48" s="9"/>
      <c r="U48" s="9"/>
    </row>
    <row r="49" spans="1:21" ht="15" customHeight="1">
      <c r="A49" s="153"/>
      <c r="B49" s="8" t="s">
        <v>290</v>
      </c>
      <c r="C49" s="154"/>
      <c r="D49" s="154"/>
      <c r="E49" s="230"/>
      <c r="F49" s="230"/>
      <c r="G49" s="198"/>
      <c r="H49" s="46">
        <f t="shared" ref="H49" si="29">H48</f>
        <v>0</v>
      </c>
      <c r="I49" s="227"/>
      <c r="J49" s="228"/>
      <c r="K49" s="195"/>
      <c r="L49" s="77">
        <f>1033*1038*133/1000000000</f>
        <v>0.14260978199999999</v>
      </c>
      <c r="M49" s="78">
        <v>11</v>
      </c>
      <c r="N49" s="15"/>
      <c r="O49" s="15"/>
      <c r="P49" s="15"/>
      <c r="Q49" s="9"/>
      <c r="R49" s="9"/>
      <c r="S49" s="9"/>
      <c r="T49" s="9"/>
      <c r="U49" s="9"/>
    </row>
    <row r="50" spans="1:21" ht="15" customHeight="1">
      <c r="A50" s="153" t="s">
        <v>176</v>
      </c>
      <c r="B50" s="8" t="s">
        <v>298</v>
      </c>
      <c r="C50" s="154">
        <v>5</v>
      </c>
      <c r="D50" s="154">
        <v>5.6</v>
      </c>
      <c r="E50" s="229" t="s">
        <v>1</v>
      </c>
      <c r="F50" s="229" t="s">
        <v>1</v>
      </c>
      <c r="G50" s="198">
        <v>1323</v>
      </c>
      <c r="H50" s="76">
        <v>0</v>
      </c>
      <c r="I50" s="227">
        <f t="shared" ref="I50" si="30">$B$2</f>
        <v>0</v>
      </c>
      <c r="J50" s="228">
        <f t="shared" ref="J50" si="31">G50*(1-I50)</f>
        <v>1323</v>
      </c>
      <c r="K50" s="195">
        <f t="shared" ref="K50" si="32">J50*H50</f>
        <v>0</v>
      </c>
      <c r="L50" s="77">
        <f>963*963*272/1000000000</f>
        <v>0.252244368</v>
      </c>
      <c r="M50" s="78">
        <v>29.5</v>
      </c>
      <c r="N50" s="16"/>
      <c r="O50" s="15"/>
      <c r="P50" s="16"/>
      <c r="Q50" s="9"/>
      <c r="R50" s="9"/>
      <c r="S50" s="9"/>
      <c r="T50" s="9"/>
      <c r="U50" s="9"/>
    </row>
    <row r="51" spans="1:21" ht="15" customHeight="1">
      <c r="A51" s="153"/>
      <c r="B51" s="8" t="s">
        <v>290</v>
      </c>
      <c r="C51" s="154"/>
      <c r="D51" s="154"/>
      <c r="E51" s="230"/>
      <c r="F51" s="230"/>
      <c r="G51" s="198"/>
      <c r="H51" s="46">
        <f t="shared" ref="H51" si="33">H50</f>
        <v>0</v>
      </c>
      <c r="I51" s="227"/>
      <c r="J51" s="228"/>
      <c r="K51" s="195"/>
      <c r="L51" s="77">
        <f>1033*1038*133/1000000000</f>
        <v>0.14260978199999999</v>
      </c>
      <c r="M51" s="78">
        <v>11</v>
      </c>
      <c r="N51" s="16"/>
      <c r="O51" s="15"/>
      <c r="P51" s="16"/>
      <c r="Q51" s="9"/>
      <c r="R51" s="9"/>
      <c r="S51" s="9"/>
      <c r="T51" s="9"/>
      <c r="U51" s="9"/>
    </row>
    <row r="52" spans="1:21" ht="15" customHeight="1">
      <c r="A52" s="153" t="s">
        <v>177</v>
      </c>
      <c r="B52" s="8" t="s">
        <v>299</v>
      </c>
      <c r="C52" s="154">
        <v>5.6</v>
      </c>
      <c r="D52" s="154">
        <v>6.3</v>
      </c>
      <c r="E52" s="229" t="s">
        <v>1</v>
      </c>
      <c r="F52" s="229" t="s">
        <v>1</v>
      </c>
      <c r="G52" s="198">
        <v>1411.1999999999998</v>
      </c>
      <c r="H52" s="76">
        <v>0</v>
      </c>
      <c r="I52" s="227">
        <f t="shared" ref="I52" si="34">$B$2</f>
        <v>0</v>
      </c>
      <c r="J52" s="228">
        <f t="shared" ref="J52" si="35">G52*(1-I52)</f>
        <v>1411.1999999999998</v>
      </c>
      <c r="K52" s="195">
        <f t="shared" ref="K52" si="36">J52*H52</f>
        <v>0</v>
      </c>
      <c r="L52" s="77">
        <f>963*963*325/1000000000</f>
        <v>0.30139492499999998</v>
      </c>
      <c r="M52" s="78">
        <v>34.5</v>
      </c>
      <c r="N52" s="15"/>
      <c r="O52" s="15"/>
      <c r="P52" s="15"/>
      <c r="Q52" s="9"/>
      <c r="R52" s="9"/>
      <c r="S52" s="9"/>
      <c r="T52" s="9"/>
      <c r="U52" s="9"/>
    </row>
    <row r="53" spans="1:21" ht="15" customHeight="1">
      <c r="A53" s="153"/>
      <c r="B53" s="8" t="s">
        <v>290</v>
      </c>
      <c r="C53" s="154"/>
      <c r="D53" s="154"/>
      <c r="E53" s="230"/>
      <c r="F53" s="230"/>
      <c r="G53" s="198"/>
      <c r="H53" s="46">
        <f t="shared" ref="H53" si="37">H52</f>
        <v>0</v>
      </c>
      <c r="I53" s="227"/>
      <c r="J53" s="228"/>
      <c r="K53" s="195"/>
      <c r="L53" s="77">
        <f>1033*1038*133/1000000000</f>
        <v>0.14260978199999999</v>
      </c>
      <c r="M53" s="78">
        <v>11</v>
      </c>
      <c r="N53" s="15"/>
      <c r="O53" s="15"/>
      <c r="P53" s="15"/>
      <c r="Q53" s="9"/>
      <c r="R53" s="9"/>
      <c r="S53" s="9"/>
      <c r="T53" s="9"/>
      <c r="U53" s="9"/>
    </row>
    <row r="54" spans="1:21" ht="15" customHeight="1">
      <c r="A54" s="153" t="s">
        <v>178</v>
      </c>
      <c r="B54" s="8" t="s">
        <v>300</v>
      </c>
      <c r="C54" s="154">
        <v>6.3</v>
      </c>
      <c r="D54" s="154">
        <v>7.1</v>
      </c>
      <c r="E54" s="229" t="s">
        <v>1</v>
      </c>
      <c r="F54" s="229" t="s">
        <v>1</v>
      </c>
      <c r="G54" s="198">
        <v>1436.3999999999999</v>
      </c>
      <c r="H54" s="76">
        <v>0</v>
      </c>
      <c r="I54" s="227">
        <f t="shared" ref="I54" si="38">$B$2</f>
        <v>0</v>
      </c>
      <c r="J54" s="228">
        <f t="shared" ref="J54" si="39">G54*(1-I54)</f>
        <v>1436.3999999999999</v>
      </c>
      <c r="K54" s="195">
        <f t="shared" ref="K54" si="40">J54*H54</f>
        <v>0</v>
      </c>
      <c r="L54" s="77">
        <f>963*963*325/1000000000</f>
        <v>0.30139492499999998</v>
      </c>
      <c r="M54" s="78">
        <v>34.5</v>
      </c>
      <c r="N54" s="16"/>
      <c r="O54" s="15"/>
      <c r="P54" s="16"/>
      <c r="Q54" s="9"/>
      <c r="R54" s="9"/>
      <c r="S54" s="9"/>
      <c r="T54" s="9"/>
      <c r="U54" s="9"/>
    </row>
    <row r="55" spans="1:21" ht="15" customHeight="1">
      <c r="A55" s="153"/>
      <c r="B55" s="8" t="s">
        <v>290</v>
      </c>
      <c r="C55" s="154"/>
      <c r="D55" s="154"/>
      <c r="E55" s="230"/>
      <c r="F55" s="230"/>
      <c r="G55" s="198"/>
      <c r="H55" s="46">
        <f t="shared" ref="H55" si="41">H54</f>
        <v>0</v>
      </c>
      <c r="I55" s="227"/>
      <c r="J55" s="228"/>
      <c r="K55" s="195"/>
      <c r="L55" s="77">
        <f>1033*1038*133/1000000000</f>
        <v>0.14260978199999999</v>
      </c>
      <c r="M55" s="78">
        <v>11</v>
      </c>
      <c r="N55" s="16"/>
      <c r="O55" s="15"/>
      <c r="P55" s="16"/>
      <c r="Q55" s="9"/>
      <c r="R55" s="9"/>
      <c r="S55" s="9"/>
      <c r="T55" s="9"/>
      <c r="U55" s="9"/>
    </row>
    <row r="56" spans="1:21" ht="15" customHeight="1">
      <c r="A56" s="153" t="s">
        <v>179</v>
      </c>
      <c r="B56" s="8" t="s">
        <v>301</v>
      </c>
      <c r="C56" s="154">
        <v>7.1</v>
      </c>
      <c r="D56" s="154">
        <v>8</v>
      </c>
      <c r="E56" s="229" t="s">
        <v>1</v>
      </c>
      <c r="F56" s="229" t="s">
        <v>1</v>
      </c>
      <c r="G56" s="198">
        <v>1516.1999999999998</v>
      </c>
      <c r="H56" s="76">
        <v>0</v>
      </c>
      <c r="I56" s="227">
        <f t="shared" ref="I56" si="42">$B$2</f>
        <v>0</v>
      </c>
      <c r="J56" s="228">
        <f t="shared" ref="J56" si="43">G56*(1-I56)</f>
        <v>1516.1999999999998</v>
      </c>
      <c r="K56" s="195">
        <f t="shared" ref="K56" si="44">J56*H56</f>
        <v>0</v>
      </c>
      <c r="L56" s="77">
        <f>963*963*325/1000000000</f>
        <v>0.30139492499999998</v>
      </c>
      <c r="M56" s="78">
        <v>34.5</v>
      </c>
      <c r="N56" s="16"/>
      <c r="O56" s="15"/>
      <c r="P56" s="16"/>
      <c r="Q56" s="9"/>
      <c r="R56" s="9"/>
      <c r="S56" s="9"/>
      <c r="T56" s="9"/>
      <c r="U56" s="9"/>
    </row>
    <row r="57" spans="1:21" ht="15" customHeight="1">
      <c r="A57" s="153"/>
      <c r="B57" s="8" t="s">
        <v>290</v>
      </c>
      <c r="C57" s="154"/>
      <c r="D57" s="154"/>
      <c r="E57" s="230"/>
      <c r="F57" s="230"/>
      <c r="G57" s="198"/>
      <c r="H57" s="46">
        <f t="shared" ref="H57" si="45">H56</f>
        <v>0</v>
      </c>
      <c r="I57" s="227"/>
      <c r="J57" s="228"/>
      <c r="K57" s="195"/>
      <c r="L57" s="77">
        <f>1033*1038*133/1000000000</f>
        <v>0.14260978199999999</v>
      </c>
      <c r="M57" s="78">
        <v>11</v>
      </c>
      <c r="N57" s="16"/>
      <c r="O57" s="15"/>
      <c r="P57" s="16"/>
      <c r="Q57" s="9"/>
      <c r="R57" s="9"/>
      <c r="S57" s="9"/>
      <c r="T57" s="9"/>
      <c r="U57" s="9"/>
    </row>
    <row r="58" spans="1:21" ht="15" customHeight="1">
      <c r="A58" s="153" t="s">
        <v>180</v>
      </c>
      <c r="B58" s="8" t="s">
        <v>302</v>
      </c>
      <c r="C58" s="154">
        <v>8</v>
      </c>
      <c r="D58" s="154">
        <v>9</v>
      </c>
      <c r="E58" s="229" t="s">
        <v>1</v>
      </c>
      <c r="F58" s="229" t="s">
        <v>1</v>
      </c>
      <c r="G58" s="198">
        <v>1537.1999999999998</v>
      </c>
      <c r="H58" s="76">
        <v>0</v>
      </c>
      <c r="I58" s="227">
        <f t="shared" ref="I58" si="46">$B$2</f>
        <v>0</v>
      </c>
      <c r="J58" s="228">
        <f t="shared" ref="J58" si="47">G58*(1-I58)</f>
        <v>1537.1999999999998</v>
      </c>
      <c r="K58" s="195">
        <f t="shared" ref="K58" si="48">J58*H58</f>
        <v>0</v>
      </c>
      <c r="L58" s="77">
        <f>963*963*325/1000000000</f>
        <v>0.30139492499999998</v>
      </c>
      <c r="M58" s="78">
        <v>34.5</v>
      </c>
      <c r="N58" s="16"/>
      <c r="O58" s="15"/>
      <c r="P58" s="16"/>
      <c r="Q58" s="9"/>
      <c r="R58" s="9"/>
      <c r="S58" s="9"/>
      <c r="T58" s="9"/>
      <c r="U58" s="9"/>
    </row>
    <row r="59" spans="1:21" ht="15" customHeight="1">
      <c r="A59" s="153"/>
      <c r="B59" s="8" t="s">
        <v>290</v>
      </c>
      <c r="C59" s="154"/>
      <c r="D59" s="154"/>
      <c r="E59" s="230"/>
      <c r="F59" s="230"/>
      <c r="G59" s="198"/>
      <c r="H59" s="46">
        <f t="shared" ref="H59" si="49">H58</f>
        <v>0</v>
      </c>
      <c r="I59" s="227"/>
      <c r="J59" s="228"/>
      <c r="K59" s="195"/>
      <c r="L59" s="77">
        <f>1033*1038*133/1000000000</f>
        <v>0.14260978199999999</v>
      </c>
      <c r="M59" s="78">
        <v>11</v>
      </c>
      <c r="N59" s="16"/>
      <c r="O59" s="15"/>
      <c r="P59" s="16"/>
      <c r="Q59" s="9"/>
      <c r="R59" s="9"/>
      <c r="S59" s="9"/>
      <c r="T59" s="9"/>
      <c r="U59" s="9"/>
    </row>
    <row r="60" spans="1:21" ht="15" customHeight="1">
      <c r="A60" s="153" t="s">
        <v>181</v>
      </c>
      <c r="B60" s="8" t="s">
        <v>303</v>
      </c>
      <c r="C60" s="154">
        <v>9</v>
      </c>
      <c r="D60" s="154">
        <v>10</v>
      </c>
      <c r="E60" s="229" t="s">
        <v>1</v>
      </c>
      <c r="F60" s="229" t="s">
        <v>1</v>
      </c>
      <c r="G60" s="198">
        <v>1650.6</v>
      </c>
      <c r="H60" s="76">
        <v>0</v>
      </c>
      <c r="I60" s="227">
        <f t="shared" ref="I60" si="50">$B$2</f>
        <v>0</v>
      </c>
      <c r="J60" s="228">
        <f t="shared" ref="J60" si="51">G60*(1-I60)</f>
        <v>1650.6</v>
      </c>
      <c r="K60" s="195">
        <f t="shared" ref="K60" si="52">J60*H60</f>
        <v>0</v>
      </c>
      <c r="L60" s="77">
        <f>963*963*409/1000000000</f>
        <v>0.37929392099999998</v>
      </c>
      <c r="M60" s="78">
        <v>40</v>
      </c>
      <c r="N60" s="16"/>
      <c r="O60" s="15"/>
      <c r="P60" s="16"/>
      <c r="Q60" s="9"/>
      <c r="R60" s="9"/>
      <c r="S60" s="9"/>
      <c r="T60" s="9"/>
      <c r="U60" s="9"/>
    </row>
    <row r="61" spans="1:21" ht="15" customHeight="1">
      <c r="A61" s="153"/>
      <c r="B61" s="8" t="s">
        <v>290</v>
      </c>
      <c r="C61" s="154"/>
      <c r="D61" s="154"/>
      <c r="E61" s="230"/>
      <c r="F61" s="230"/>
      <c r="G61" s="198"/>
      <c r="H61" s="46">
        <f t="shared" ref="H61" si="53">H60</f>
        <v>0</v>
      </c>
      <c r="I61" s="227"/>
      <c r="J61" s="228"/>
      <c r="K61" s="195"/>
      <c r="L61" s="77">
        <f>1033*1038*133/1000000000</f>
        <v>0.14260978199999999</v>
      </c>
      <c r="M61" s="78">
        <v>11</v>
      </c>
      <c r="N61" s="16"/>
      <c r="O61" s="15"/>
      <c r="P61" s="16"/>
      <c r="Q61" s="9"/>
      <c r="R61" s="9"/>
      <c r="S61" s="9"/>
      <c r="T61" s="9"/>
      <c r="U61" s="9"/>
    </row>
    <row r="62" spans="1:21" ht="15" customHeight="1">
      <c r="A62" s="153" t="s">
        <v>182</v>
      </c>
      <c r="B62" s="8" t="s">
        <v>304</v>
      </c>
      <c r="C62" s="154">
        <v>10</v>
      </c>
      <c r="D62" s="154">
        <v>11.2</v>
      </c>
      <c r="E62" s="229" t="s">
        <v>1</v>
      </c>
      <c r="F62" s="229" t="s">
        <v>1</v>
      </c>
      <c r="G62" s="198">
        <v>1671.6</v>
      </c>
      <c r="H62" s="76">
        <v>0</v>
      </c>
      <c r="I62" s="227">
        <f t="shared" ref="I62" si="54">$B$2</f>
        <v>0</v>
      </c>
      <c r="J62" s="228">
        <f t="shared" ref="J62" si="55">G62*(1-I62)</f>
        <v>1671.6</v>
      </c>
      <c r="K62" s="195">
        <f t="shared" ref="K62" si="56">J62*H62</f>
        <v>0</v>
      </c>
      <c r="L62" s="77">
        <f>963*963*409/1000000000</f>
        <v>0.37929392099999998</v>
      </c>
      <c r="M62" s="78">
        <v>40</v>
      </c>
      <c r="N62" s="16"/>
      <c r="O62" s="15"/>
      <c r="P62" s="16"/>
      <c r="Q62" s="9"/>
      <c r="R62" s="9"/>
      <c r="S62" s="9"/>
      <c r="T62" s="9"/>
      <c r="U62" s="9"/>
    </row>
    <row r="63" spans="1:21" ht="15" customHeight="1">
      <c r="A63" s="153"/>
      <c r="B63" s="8" t="s">
        <v>290</v>
      </c>
      <c r="C63" s="154"/>
      <c r="D63" s="154"/>
      <c r="E63" s="230"/>
      <c r="F63" s="230"/>
      <c r="G63" s="198"/>
      <c r="H63" s="46">
        <f t="shared" ref="H63" si="57">H62</f>
        <v>0</v>
      </c>
      <c r="I63" s="227"/>
      <c r="J63" s="228"/>
      <c r="K63" s="195"/>
      <c r="L63" s="77">
        <f>1033*1038*133/1000000000</f>
        <v>0.14260978199999999</v>
      </c>
      <c r="M63" s="78">
        <v>11</v>
      </c>
      <c r="N63" s="16"/>
      <c r="O63" s="15"/>
      <c r="P63" s="16"/>
      <c r="Q63" s="9"/>
      <c r="R63" s="9"/>
      <c r="S63" s="9"/>
      <c r="T63" s="9"/>
      <c r="U63" s="9"/>
    </row>
    <row r="64" spans="1:21" ht="15" customHeight="1">
      <c r="A64" s="153" t="s">
        <v>183</v>
      </c>
      <c r="B64" s="8" t="s">
        <v>305</v>
      </c>
      <c r="C64" s="154">
        <v>11.2</v>
      </c>
      <c r="D64" s="154">
        <v>12.5</v>
      </c>
      <c r="E64" s="229" t="s">
        <v>1</v>
      </c>
      <c r="F64" s="229" t="s">
        <v>1</v>
      </c>
      <c r="G64" s="198">
        <v>1684.1999999999998</v>
      </c>
      <c r="H64" s="76">
        <v>0</v>
      </c>
      <c r="I64" s="227">
        <f t="shared" ref="I64" si="58">$B$2</f>
        <v>0</v>
      </c>
      <c r="J64" s="228">
        <f t="shared" ref="J64" si="59">G64*(1-I64)</f>
        <v>1684.1999999999998</v>
      </c>
      <c r="K64" s="195">
        <f t="shared" ref="K64" si="60">J64*H64</f>
        <v>0</v>
      </c>
      <c r="L64" s="77">
        <f>963*963*409/1000000000</f>
        <v>0.37929392099999998</v>
      </c>
      <c r="M64" s="78">
        <v>40</v>
      </c>
      <c r="N64" s="15"/>
      <c r="O64" s="15"/>
      <c r="P64" s="15"/>
      <c r="Q64" s="9"/>
      <c r="R64" s="9"/>
      <c r="S64" s="9"/>
      <c r="T64" s="9"/>
      <c r="U64" s="9"/>
    </row>
    <row r="65" spans="1:21" ht="15" customHeight="1">
      <c r="A65" s="153"/>
      <c r="B65" s="8" t="s">
        <v>290</v>
      </c>
      <c r="C65" s="154"/>
      <c r="D65" s="154"/>
      <c r="E65" s="230"/>
      <c r="F65" s="230"/>
      <c r="G65" s="198"/>
      <c r="H65" s="46">
        <f t="shared" ref="H65" si="61">H64</f>
        <v>0</v>
      </c>
      <c r="I65" s="227"/>
      <c r="J65" s="228"/>
      <c r="K65" s="195"/>
      <c r="L65" s="77">
        <f>1033*1038*133/1000000000</f>
        <v>0.14260978199999999</v>
      </c>
      <c r="M65" s="78">
        <v>11</v>
      </c>
      <c r="N65" s="15"/>
      <c r="O65" s="15"/>
      <c r="P65" s="15"/>
      <c r="Q65" s="9"/>
      <c r="R65" s="9"/>
      <c r="S65" s="9"/>
      <c r="T65" s="9"/>
      <c r="U65" s="9"/>
    </row>
    <row r="66" spans="1:21" ht="15" customHeight="1">
      <c r="A66" s="153" t="s">
        <v>184</v>
      </c>
      <c r="B66" s="8" t="s">
        <v>306</v>
      </c>
      <c r="C66" s="154">
        <v>12.5</v>
      </c>
      <c r="D66" s="154">
        <v>14</v>
      </c>
      <c r="E66" s="229" t="s">
        <v>1</v>
      </c>
      <c r="F66" s="229" t="s">
        <v>1</v>
      </c>
      <c r="G66" s="198">
        <v>1709.3999999999999</v>
      </c>
      <c r="H66" s="76">
        <v>0</v>
      </c>
      <c r="I66" s="227">
        <f t="shared" ref="I66" si="62">$B$2</f>
        <v>0</v>
      </c>
      <c r="J66" s="228">
        <f t="shared" ref="J66" si="63">G66*(1-I66)</f>
        <v>1709.3999999999999</v>
      </c>
      <c r="K66" s="195">
        <f t="shared" ref="K66" si="64">J66*H66</f>
        <v>0</v>
      </c>
      <c r="L66" s="77">
        <f>963*963*409/1000000000</f>
        <v>0.37929392099999998</v>
      </c>
      <c r="M66" s="78">
        <v>40</v>
      </c>
      <c r="N66" s="16"/>
      <c r="O66" s="15"/>
      <c r="P66" s="15"/>
      <c r="Q66" s="9"/>
      <c r="R66" s="9"/>
      <c r="S66" s="9"/>
      <c r="T66" s="9"/>
      <c r="U66" s="9"/>
    </row>
    <row r="67" spans="1:21" ht="15" customHeight="1">
      <c r="A67" s="153"/>
      <c r="B67" s="8" t="s">
        <v>290</v>
      </c>
      <c r="C67" s="154"/>
      <c r="D67" s="154"/>
      <c r="E67" s="230"/>
      <c r="F67" s="230"/>
      <c r="G67" s="198"/>
      <c r="H67" s="46">
        <f t="shared" ref="H67" si="65">H66</f>
        <v>0</v>
      </c>
      <c r="I67" s="227"/>
      <c r="J67" s="228"/>
      <c r="K67" s="195"/>
      <c r="L67" s="77">
        <f>1033*1038*133/1000000000</f>
        <v>0.14260978199999999</v>
      </c>
      <c r="M67" s="78">
        <v>11</v>
      </c>
      <c r="N67" s="16"/>
      <c r="O67" s="15"/>
      <c r="P67" s="15"/>
      <c r="Q67" s="9"/>
      <c r="R67" s="9"/>
      <c r="S67" s="9"/>
      <c r="T67" s="9"/>
      <c r="U67" s="9"/>
    </row>
    <row r="68" spans="1:21" ht="15" customHeight="1">
      <c r="A68" s="153" t="s">
        <v>185</v>
      </c>
      <c r="B68" s="8" t="s">
        <v>307</v>
      </c>
      <c r="C68" s="154">
        <v>14</v>
      </c>
      <c r="D68" s="154">
        <v>16</v>
      </c>
      <c r="E68" s="229" t="s">
        <v>1</v>
      </c>
      <c r="F68" s="229" t="s">
        <v>1</v>
      </c>
      <c r="G68" s="198">
        <v>1776.6</v>
      </c>
      <c r="H68" s="76">
        <v>0</v>
      </c>
      <c r="I68" s="227">
        <f t="shared" ref="I68" si="66">$B$2</f>
        <v>0</v>
      </c>
      <c r="J68" s="228">
        <f t="shared" ref="J68" si="67">G68*(1-I68)</f>
        <v>1776.6</v>
      </c>
      <c r="K68" s="195">
        <f t="shared" ref="K68" si="68">J68*H68</f>
        <v>0</v>
      </c>
      <c r="L68" s="77">
        <f>963*963*409/1000000000</f>
        <v>0.37929392099999998</v>
      </c>
      <c r="M68" s="78">
        <v>40</v>
      </c>
      <c r="N68" s="9"/>
      <c r="O68" s="9"/>
      <c r="P68" s="9"/>
      <c r="Q68" s="9"/>
      <c r="R68" s="9"/>
      <c r="S68" s="9"/>
      <c r="T68" s="9"/>
      <c r="U68" s="9"/>
    </row>
    <row r="69" spans="1:21" ht="15" customHeight="1">
      <c r="A69" s="153"/>
      <c r="B69" s="8" t="s">
        <v>290</v>
      </c>
      <c r="C69" s="154"/>
      <c r="D69" s="154"/>
      <c r="E69" s="230"/>
      <c r="F69" s="230"/>
      <c r="G69" s="198"/>
      <c r="H69" s="46">
        <f t="shared" ref="H69" si="69">H68</f>
        <v>0</v>
      </c>
      <c r="I69" s="227"/>
      <c r="J69" s="228"/>
      <c r="K69" s="195"/>
      <c r="L69" s="77">
        <f>1033*1038*133/1000000000</f>
        <v>0.14260978199999999</v>
      </c>
      <c r="M69" s="78">
        <v>11</v>
      </c>
      <c r="N69" s="9"/>
      <c r="O69" s="9"/>
      <c r="P69" s="9"/>
      <c r="Q69" s="9"/>
      <c r="R69" s="9"/>
      <c r="S69" s="9"/>
      <c r="T69" s="9"/>
      <c r="U69" s="9"/>
    </row>
    <row r="70" spans="1:21" ht="15" customHeight="1">
      <c r="A70" s="231" t="s">
        <v>111</v>
      </c>
      <c r="B70" s="232"/>
      <c r="C70" s="232"/>
      <c r="D70" s="226"/>
      <c r="E70" s="226"/>
      <c r="F70" s="226"/>
      <c r="G70" s="226"/>
      <c r="H70" s="226"/>
      <c r="I70" s="226"/>
      <c r="J70" s="226"/>
      <c r="K70" s="226"/>
      <c r="L70" s="226"/>
      <c r="M70" s="226"/>
      <c r="N70" s="9"/>
      <c r="O70" s="9"/>
      <c r="P70" s="9"/>
      <c r="Q70" s="9"/>
      <c r="R70" s="9"/>
      <c r="S70" s="9"/>
      <c r="T70" s="9"/>
      <c r="U70" s="9"/>
    </row>
    <row r="71" spans="1:21" ht="15" customHeight="1">
      <c r="A71" s="7" t="s">
        <v>112</v>
      </c>
      <c r="B71" s="8" t="s">
        <v>1</v>
      </c>
      <c r="C71" s="80">
        <v>5.6</v>
      </c>
      <c r="D71" s="80">
        <v>6.3</v>
      </c>
      <c r="E71" s="79" t="s">
        <v>1</v>
      </c>
      <c r="F71" s="79" t="s">
        <v>1</v>
      </c>
      <c r="G71" s="93">
        <v>1318.8</v>
      </c>
      <c r="H71" s="43">
        <v>0</v>
      </c>
      <c r="I71" s="45">
        <f t="shared" ref="I71:I81" si="70">$B$2</f>
        <v>0</v>
      </c>
      <c r="J71" s="94">
        <f t="shared" ref="J71:J81" si="71">G71*(1-I71)</f>
        <v>1318.8</v>
      </c>
      <c r="K71" s="40">
        <f t="shared" ref="K71:K81" si="72">J71*H71</f>
        <v>0</v>
      </c>
      <c r="L71" s="77">
        <f>1348*597*283/1000000000</f>
        <v>0.227745948</v>
      </c>
      <c r="M71" s="78">
        <v>40</v>
      </c>
      <c r="N71" s="9"/>
      <c r="O71" s="9"/>
      <c r="P71" s="9"/>
      <c r="Q71" s="9"/>
      <c r="R71" s="9"/>
      <c r="S71" s="9"/>
      <c r="T71" s="9"/>
      <c r="U71" s="9"/>
    </row>
    <row r="72" spans="1:21" ht="15" customHeight="1">
      <c r="A72" s="7" t="s">
        <v>113</v>
      </c>
      <c r="B72" s="8" t="s">
        <v>1</v>
      </c>
      <c r="C72" s="80">
        <v>6.3</v>
      </c>
      <c r="D72" s="80">
        <v>7.1</v>
      </c>
      <c r="E72" s="79" t="s">
        <v>1</v>
      </c>
      <c r="F72" s="79" t="s">
        <v>1</v>
      </c>
      <c r="G72" s="93">
        <v>1360.8</v>
      </c>
      <c r="H72" s="43">
        <v>0</v>
      </c>
      <c r="I72" s="45">
        <f t="shared" si="70"/>
        <v>0</v>
      </c>
      <c r="J72" s="94">
        <f t="shared" si="71"/>
        <v>1360.8</v>
      </c>
      <c r="K72" s="40">
        <f t="shared" si="72"/>
        <v>0</v>
      </c>
      <c r="L72" s="77">
        <f>1348*597*283/1000000000</f>
        <v>0.227745948</v>
      </c>
      <c r="M72" s="78">
        <v>40</v>
      </c>
      <c r="N72" s="9"/>
      <c r="O72" s="9"/>
      <c r="P72" s="9"/>
      <c r="Q72" s="9"/>
      <c r="R72" s="9"/>
      <c r="S72" s="9"/>
      <c r="T72" s="9"/>
      <c r="U72" s="9"/>
    </row>
    <row r="73" spans="1:21" ht="15" customHeight="1">
      <c r="A73" s="7" t="s">
        <v>114</v>
      </c>
      <c r="B73" s="8" t="s">
        <v>1</v>
      </c>
      <c r="C73" s="80">
        <v>7.1</v>
      </c>
      <c r="D73" s="80">
        <v>8</v>
      </c>
      <c r="E73" s="79" t="s">
        <v>1</v>
      </c>
      <c r="F73" s="79" t="s">
        <v>1</v>
      </c>
      <c r="G73" s="93">
        <v>1415.3999999999999</v>
      </c>
      <c r="H73" s="43">
        <v>0</v>
      </c>
      <c r="I73" s="45">
        <f t="shared" si="70"/>
        <v>0</v>
      </c>
      <c r="J73" s="94">
        <f t="shared" si="71"/>
        <v>1415.3999999999999</v>
      </c>
      <c r="K73" s="40">
        <f t="shared" si="72"/>
        <v>0</v>
      </c>
      <c r="L73" s="77">
        <f>1348*597*283/1000000000</f>
        <v>0.227745948</v>
      </c>
      <c r="M73" s="78">
        <v>40</v>
      </c>
      <c r="N73" s="9"/>
      <c r="O73" s="9"/>
      <c r="P73" s="9"/>
      <c r="Q73" s="9"/>
      <c r="R73" s="9"/>
      <c r="S73" s="9"/>
      <c r="T73" s="9"/>
      <c r="U73" s="9"/>
    </row>
    <row r="74" spans="1:21" ht="15" customHeight="1">
      <c r="A74" s="7" t="s">
        <v>115</v>
      </c>
      <c r="B74" s="8" t="s">
        <v>1</v>
      </c>
      <c r="C74" s="80">
        <v>8</v>
      </c>
      <c r="D74" s="80">
        <v>9</v>
      </c>
      <c r="E74" s="79" t="s">
        <v>1</v>
      </c>
      <c r="F74" s="79" t="s">
        <v>1</v>
      </c>
      <c r="G74" s="93">
        <v>1469.9999999999998</v>
      </c>
      <c r="H74" s="43">
        <v>0</v>
      </c>
      <c r="I74" s="45">
        <f t="shared" si="70"/>
        <v>0</v>
      </c>
      <c r="J74" s="94">
        <f t="shared" si="71"/>
        <v>1469.9999999999998</v>
      </c>
      <c r="K74" s="40">
        <f t="shared" si="72"/>
        <v>0</v>
      </c>
      <c r="L74" s="77">
        <f>1348*597*283/1000000000</f>
        <v>0.227745948</v>
      </c>
      <c r="M74" s="78">
        <v>40</v>
      </c>
      <c r="N74" s="9"/>
      <c r="O74" s="9"/>
      <c r="P74" s="9"/>
      <c r="Q74" s="9"/>
      <c r="R74" s="9"/>
      <c r="S74" s="9"/>
      <c r="T74" s="9"/>
      <c r="U74" s="9"/>
    </row>
    <row r="75" spans="1:21" ht="15" customHeight="1">
      <c r="A75" s="7" t="s">
        <v>116</v>
      </c>
      <c r="B75" s="8" t="s">
        <v>1</v>
      </c>
      <c r="C75" s="80">
        <v>9</v>
      </c>
      <c r="D75" s="80">
        <v>10</v>
      </c>
      <c r="E75" s="79" t="s">
        <v>1</v>
      </c>
      <c r="F75" s="79" t="s">
        <v>1</v>
      </c>
      <c r="G75" s="93">
        <v>1675.7999999999997</v>
      </c>
      <c r="H75" s="43">
        <v>0</v>
      </c>
      <c r="I75" s="45">
        <f t="shared" si="70"/>
        <v>0</v>
      </c>
      <c r="J75" s="94">
        <f t="shared" si="71"/>
        <v>1675.7999999999997</v>
      </c>
      <c r="K75" s="40">
        <f t="shared" si="72"/>
        <v>0</v>
      </c>
      <c r="L75" s="77">
        <f>1338*877*305/1000000000</f>
        <v>0.35789493</v>
      </c>
      <c r="M75" s="78">
        <v>54</v>
      </c>
      <c r="N75" s="9"/>
      <c r="O75" s="9"/>
      <c r="P75" s="9"/>
      <c r="Q75" s="9"/>
      <c r="R75" s="9"/>
      <c r="S75" s="9"/>
      <c r="T75" s="9"/>
      <c r="U75" s="9"/>
    </row>
    <row r="76" spans="1:21" ht="15" customHeight="1">
      <c r="A76" s="7" t="s">
        <v>117</v>
      </c>
      <c r="B76" s="8" t="s">
        <v>1</v>
      </c>
      <c r="C76" s="80">
        <v>10</v>
      </c>
      <c r="D76" s="80">
        <v>11.2</v>
      </c>
      <c r="E76" s="79" t="s">
        <v>1</v>
      </c>
      <c r="F76" s="79" t="s">
        <v>1</v>
      </c>
      <c r="G76" s="93">
        <v>1734.6</v>
      </c>
      <c r="H76" s="43">
        <v>0</v>
      </c>
      <c r="I76" s="45">
        <f t="shared" si="70"/>
        <v>0</v>
      </c>
      <c r="J76" s="94">
        <f t="shared" si="71"/>
        <v>1734.6</v>
      </c>
      <c r="K76" s="40">
        <f t="shared" si="72"/>
        <v>0</v>
      </c>
      <c r="L76" s="77">
        <f>1338*877*305/1000000000</f>
        <v>0.35789493</v>
      </c>
      <c r="M76" s="78">
        <v>54</v>
      </c>
      <c r="N76" s="9"/>
      <c r="O76" s="9"/>
      <c r="P76" s="9"/>
      <c r="Q76" s="9"/>
      <c r="R76" s="9"/>
      <c r="S76" s="9"/>
      <c r="T76" s="9"/>
      <c r="U76" s="9"/>
    </row>
    <row r="77" spans="1:21" ht="15" customHeight="1">
      <c r="A77" s="7" t="s">
        <v>118</v>
      </c>
      <c r="B77" s="8" t="s">
        <v>1</v>
      </c>
      <c r="C77" s="80">
        <v>11.2</v>
      </c>
      <c r="D77" s="80">
        <v>12.5</v>
      </c>
      <c r="E77" s="79" t="s">
        <v>1</v>
      </c>
      <c r="F77" s="79" t="s">
        <v>1</v>
      </c>
      <c r="G77" s="93">
        <v>1789.1999999999998</v>
      </c>
      <c r="H77" s="43">
        <v>0</v>
      </c>
      <c r="I77" s="45">
        <f t="shared" si="70"/>
        <v>0</v>
      </c>
      <c r="J77" s="94">
        <f t="shared" si="71"/>
        <v>1789.1999999999998</v>
      </c>
      <c r="K77" s="40">
        <f t="shared" si="72"/>
        <v>0</v>
      </c>
      <c r="L77" s="77">
        <f>1338*877*305/1000000000</f>
        <v>0.35789493</v>
      </c>
      <c r="M77" s="78">
        <v>54</v>
      </c>
      <c r="N77" s="9"/>
      <c r="O77" s="9"/>
      <c r="P77" s="9"/>
      <c r="Q77" s="9"/>
      <c r="R77" s="9"/>
      <c r="S77" s="9"/>
      <c r="T77" s="9"/>
      <c r="U77" s="9"/>
    </row>
    <row r="78" spans="1:21" ht="15" customHeight="1">
      <c r="A78" s="7" t="s">
        <v>119</v>
      </c>
      <c r="B78" s="8" t="s">
        <v>1</v>
      </c>
      <c r="C78" s="80">
        <v>12.5</v>
      </c>
      <c r="D78" s="80">
        <v>14</v>
      </c>
      <c r="E78" s="79" t="s">
        <v>1</v>
      </c>
      <c r="F78" s="79" t="s">
        <v>1</v>
      </c>
      <c r="G78" s="93">
        <v>1848</v>
      </c>
      <c r="H78" s="43">
        <v>0</v>
      </c>
      <c r="I78" s="45">
        <f t="shared" si="70"/>
        <v>0</v>
      </c>
      <c r="J78" s="94">
        <f t="shared" si="71"/>
        <v>1848</v>
      </c>
      <c r="K78" s="40">
        <f t="shared" si="72"/>
        <v>0</v>
      </c>
      <c r="L78" s="77">
        <f>1338*877*305/1000000000</f>
        <v>0.35789493</v>
      </c>
      <c r="M78" s="78">
        <v>54</v>
      </c>
      <c r="N78" s="9"/>
      <c r="O78" s="9"/>
      <c r="P78" s="9"/>
      <c r="Q78" s="9"/>
      <c r="R78" s="9"/>
      <c r="S78" s="9"/>
      <c r="T78" s="9"/>
      <c r="U78" s="9"/>
    </row>
    <row r="79" spans="1:21" ht="15" customHeight="1">
      <c r="A79" s="7" t="s">
        <v>120</v>
      </c>
      <c r="B79" s="8" t="s">
        <v>1</v>
      </c>
      <c r="C79" s="80">
        <v>14</v>
      </c>
      <c r="D79" s="80">
        <v>16</v>
      </c>
      <c r="E79" s="79" t="s">
        <v>1</v>
      </c>
      <c r="F79" s="79" t="s">
        <v>1</v>
      </c>
      <c r="G79" s="93">
        <v>1902.6</v>
      </c>
      <c r="H79" s="43">
        <v>0</v>
      </c>
      <c r="I79" s="45">
        <f t="shared" si="70"/>
        <v>0</v>
      </c>
      <c r="J79" s="94">
        <f t="shared" si="71"/>
        <v>1902.6</v>
      </c>
      <c r="K79" s="40">
        <f t="shared" si="72"/>
        <v>0</v>
      </c>
      <c r="L79" s="77">
        <f>1338*877*305/1000000000</f>
        <v>0.35789493</v>
      </c>
      <c r="M79" s="78">
        <v>54</v>
      </c>
      <c r="N79" s="9"/>
      <c r="O79" s="9"/>
      <c r="P79" s="9"/>
      <c r="Q79" s="9"/>
      <c r="R79" s="9"/>
      <c r="S79" s="9"/>
      <c r="T79" s="9"/>
      <c r="U79" s="9"/>
    </row>
    <row r="80" spans="1:21" ht="15" customHeight="1">
      <c r="A80" s="7" t="s">
        <v>121</v>
      </c>
      <c r="B80" s="8" t="s">
        <v>1</v>
      </c>
      <c r="C80" s="80">
        <v>22.4</v>
      </c>
      <c r="D80" s="80">
        <v>25</v>
      </c>
      <c r="E80" s="79" t="s">
        <v>1</v>
      </c>
      <c r="F80" s="79" t="s">
        <v>1</v>
      </c>
      <c r="G80" s="93">
        <v>3166.7999999999997</v>
      </c>
      <c r="H80" s="43">
        <v>0</v>
      </c>
      <c r="I80" s="45">
        <f t="shared" si="70"/>
        <v>0</v>
      </c>
      <c r="J80" s="94">
        <f t="shared" si="71"/>
        <v>3166.7999999999997</v>
      </c>
      <c r="K80" s="40">
        <f t="shared" si="72"/>
        <v>0</v>
      </c>
      <c r="L80" s="77">
        <f>1758*883*470/1000000000</f>
        <v>0.72958758000000001</v>
      </c>
      <c r="M80" s="78">
        <v>104</v>
      </c>
      <c r="N80" s="9"/>
      <c r="O80" s="9"/>
      <c r="P80" s="9"/>
      <c r="Q80" s="9"/>
      <c r="R80" s="9"/>
      <c r="S80" s="9"/>
      <c r="T80" s="9"/>
      <c r="U80" s="9"/>
    </row>
    <row r="81" spans="1:21" ht="15" customHeight="1">
      <c r="A81" s="7" t="s">
        <v>122</v>
      </c>
      <c r="B81" s="8" t="s">
        <v>1</v>
      </c>
      <c r="C81" s="80">
        <v>28</v>
      </c>
      <c r="D81" s="80">
        <v>31</v>
      </c>
      <c r="E81" s="79" t="s">
        <v>1</v>
      </c>
      <c r="F81" s="79" t="s">
        <v>1</v>
      </c>
      <c r="G81" s="93">
        <v>3406.2</v>
      </c>
      <c r="H81" s="43">
        <v>0</v>
      </c>
      <c r="I81" s="45">
        <f t="shared" si="70"/>
        <v>0</v>
      </c>
      <c r="J81" s="94">
        <f t="shared" si="71"/>
        <v>3406.2</v>
      </c>
      <c r="K81" s="40">
        <f t="shared" si="72"/>
        <v>0</v>
      </c>
      <c r="L81" s="77">
        <f>1788*988*580/1000000000</f>
        <v>1.0245955200000001</v>
      </c>
      <c r="M81" s="78">
        <v>138</v>
      </c>
      <c r="N81" s="9"/>
      <c r="O81" s="9"/>
      <c r="P81" s="9"/>
      <c r="Q81" s="9"/>
      <c r="R81" s="9"/>
      <c r="S81" s="9"/>
      <c r="T81" s="9"/>
      <c r="U81" s="9"/>
    </row>
    <row r="82" spans="1:21" ht="15" customHeight="1">
      <c r="A82" s="231" t="s">
        <v>111</v>
      </c>
      <c r="B82" s="232"/>
      <c r="C82" s="232"/>
      <c r="D82" s="226"/>
      <c r="E82" s="226"/>
      <c r="F82" s="226"/>
      <c r="G82" s="226"/>
      <c r="H82" s="226"/>
      <c r="I82" s="226"/>
      <c r="J82" s="226"/>
      <c r="K82" s="226"/>
      <c r="L82" s="226"/>
      <c r="M82" s="226"/>
      <c r="N82" s="9"/>
      <c r="O82" s="9"/>
      <c r="P82" s="9"/>
      <c r="Q82" s="9"/>
      <c r="R82" s="9"/>
      <c r="S82" s="9"/>
      <c r="T82" s="9"/>
      <c r="U82" s="9"/>
    </row>
    <row r="83" spans="1:21" ht="15" customHeight="1">
      <c r="A83" s="7" t="s">
        <v>123</v>
      </c>
      <c r="B83" s="8" t="s">
        <v>1</v>
      </c>
      <c r="C83" s="80">
        <v>2.2000000000000002</v>
      </c>
      <c r="D83" s="80">
        <v>2.5</v>
      </c>
      <c r="E83" s="79" t="s">
        <v>1</v>
      </c>
      <c r="F83" s="79" t="s">
        <v>1</v>
      </c>
      <c r="G83" s="93">
        <v>966</v>
      </c>
      <c r="H83" s="43">
        <v>0</v>
      </c>
      <c r="I83" s="45">
        <f t="shared" ref="I83:I99" si="73">$B$2</f>
        <v>0</v>
      </c>
      <c r="J83" s="94">
        <f t="shared" ref="J83:J99" si="74">G83*(1-I83)</f>
        <v>966</v>
      </c>
      <c r="K83" s="40">
        <f t="shared" ref="K83:K99" si="75">J83*H83</f>
        <v>0</v>
      </c>
      <c r="L83" s="77">
        <f>893*743*305/1000000000</f>
        <v>0.202367195</v>
      </c>
      <c r="M83" s="78">
        <v>27</v>
      </c>
      <c r="N83" s="9"/>
      <c r="O83" s="9"/>
      <c r="P83" s="9"/>
      <c r="Q83" s="9"/>
      <c r="R83" s="9"/>
      <c r="S83" s="9"/>
      <c r="T83" s="9"/>
      <c r="U83" s="9"/>
    </row>
    <row r="84" spans="1:21" ht="15" customHeight="1">
      <c r="A84" s="7" t="s">
        <v>124</v>
      </c>
      <c r="B84" s="8" t="s">
        <v>1</v>
      </c>
      <c r="C84" s="80">
        <v>2.5</v>
      </c>
      <c r="D84" s="80">
        <v>2.8</v>
      </c>
      <c r="E84" s="79" t="s">
        <v>1</v>
      </c>
      <c r="F84" s="79" t="s">
        <v>1</v>
      </c>
      <c r="G84" s="93">
        <v>982.8</v>
      </c>
      <c r="H84" s="43">
        <v>0</v>
      </c>
      <c r="I84" s="45">
        <f t="shared" si="73"/>
        <v>0</v>
      </c>
      <c r="J84" s="94">
        <f t="shared" si="74"/>
        <v>982.8</v>
      </c>
      <c r="K84" s="40">
        <f t="shared" si="75"/>
        <v>0</v>
      </c>
      <c r="L84" s="77">
        <f>893*743*305/1000000000</f>
        <v>0.202367195</v>
      </c>
      <c r="M84" s="78">
        <v>27</v>
      </c>
      <c r="N84" s="9"/>
      <c r="O84" s="9"/>
      <c r="P84" s="9"/>
      <c r="Q84" s="9"/>
      <c r="R84" s="9"/>
      <c r="S84" s="9"/>
      <c r="T84" s="9"/>
      <c r="U84" s="9"/>
    </row>
    <row r="85" spans="1:21" ht="15" customHeight="1">
      <c r="A85" s="7" t="s">
        <v>125</v>
      </c>
      <c r="B85" s="8" t="s">
        <v>1</v>
      </c>
      <c r="C85" s="80">
        <v>2.8</v>
      </c>
      <c r="D85" s="80">
        <v>3.2</v>
      </c>
      <c r="E85" s="79" t="s">
        <v>1</v>
      </c>
      <c r="F85" s="79" t="s">
        <v>1</v>
      </c>
      <c r="G85" s="93">
        <v>1016.3999999999999</v>
      </c>
      <c r="H85" s="43">
        <v>0</v>
      </c>
      <c r="I85" s="45">
        <f t="shared" si="73"/>
        <v>0</v>
      </c>
      <c r="J85" s="94">
        <f t="shared" si="74"/>
        <v>1016.3999999999999</v>
      </c>
      <c r="K85" s="40">
        <f t="shared" si="75"/>
        <v>0</v>
      </c>
      <c r="L85" s="77">
        <f>893*743*305/1000000000</f>
        <v>0.202367195</v>
      </c>
      <c r="M85" s="78">
        <v>27</v>
      </c>
      <c r="N85" s="9"/>
      <c r="O85" s="9"/>
      <c r="P85" s="9"/>
      <c r="Q85" s="9"/>
      <c r="R85" s="9"/>
      <c r="S85" s="9"/>
      <c r="T85" s="9"/>
      <c r="U85" s="9"/>
    </row>
    <row r="86" spans="1:21" ht="15" customHeight="1">
      <c r="A86" s="7" t="s">
        <v>126</v>
      </c>
      <c r="B86" s="8" t="s">
        <v>1</v>
      </c>
      <c r="C86" s="80">
        <v>3.2</v>
      </c>
      <c r="D86" s="80">
        <v>3.6</v>
      </c>
      <c r="E86" s="79" t="s">
        <v>1</v>
      </c>
      <c r="F86" s="79" t="s">
        <v>1</v>
      </c>
      <c r="G86" s="93">
        <v>1054.1999999999998</v>
      </c>
      <c r="H86" s="43">
        <v>0</v>
      </c>
      <c r="I86" s="45">
        <f t="shared" si="73"/>
        <v>0</v>
      </c>
      <c r="J86" s="94">
        <f t="shared" si="74"/>
        <v>1054.1999999999998</v>
      </c>
      <c r="K86" s="40">
        <f t="shared" si="75"/>
        <v>0</v>
      </c>
      <c r="L86" s="77">
        <f>893*743*305/1000000000</f>
        <v>0.202367195</v>
      </c>
      <c r="M86" s="78">
        <v>28</v>
      </c>
      <c r="N86" s="9"/>
      <c r="O86" s="9"/>
      <c r="P86" s="9"/>
      <c r="Q86" s="9"/>
      <c r="R86" s="9"/>
      <c r="S86" s="9"/>
      <c r="T86" s="9"/>
      <c r="U86" s="9"/>
    </row>
    <row r="87" spans="1:21" ht="15" customHeight="1">
      <c r="A87" s="7" t="s">
        <v>127</v>
      </c>
      <c r="B87" s="8" t="s">
        <v>1</v>
      </c>
      <c r="C87" s="80">
        <v>3.6</v>
      </c>
      <c r="D87" s="80">
        <v>4</v>
      </c>
      <c r="E87" s="79" t="s">
        <v>1</v>
      </c>
      <c r="F87" s="79" t="s">
        <v>1</v>
      </c>
      <c r="G87" s="93">
        <v>1083.5999999999999</v>
      </c>
      <c r="H87" s="43">
        <v>0</v>
      </c>
      <c r="I87" s="45">
        <f t="shared" si="73"/>
        <v>0</v>
      </c>
      <c r="J87" s="94">
        <f t="shared" si="74"/>
        <v>1083.5999999999999</v>
      </c>
      <c r="K87" s="40">
        <f t="shared" si="75"/>
        <v>0</v>
      </c>
      <c r="L87" s="77">
        <f>893*743*305/1000000000</f>
        <v>0.202367195</v>
      </c>
      <c r="M87" s="78">
        <v>28</v>
      </c>
      <c r="N87" s="9"/>
      <c r="O87" s="9"/>
      <c r="P87" s="9"/>
      <c r="Q87" s="9"/>
      <c r="R87" s="9"/>
      <c r="S87" s="9"/>
      <c r="T87" s="9"/>
      <c r="U87" s="9"/>
    </row>
    <row r="88" spans="1:21" ht="15" customHeight="1">
      <c r="A88" s="7" t="s">
        <v>128</v>
      </c>
      <c r="B88" s="8" t="s">
        <v>1</v>
      </c>
      <c r="C88" s="80">
        <v>4</v>
      </c>
      <c r="D88" s="80">
        <v>4.5</v>
      </c>
      <c r="E88" s="79" t="s">
        <v>1</v>
      </c>
      <c r="F88" s="79" t="s">
        <v>1</v>
      </c>
      <c r="G88" s="93">
        <v>1117.1999999999998</v>
      </c>
      <c r="H88" s="43">
        <v>0</v>
      </c>
      <c r="I88" s="45">
        <f t="shared" si="73"/>
        <v>0</v>
      </c>
      <c r="J88" s="94">
        <f t="shared" si="74"/>
        <v>1117.1999999999998</v>
      </c>
      <c r="K88" s="40">
        <f t="shared" si="75"/>
        <v>0</v>
      </c>
      <c r="L88" s="77">
        <f>1123*743*305/1000000000</f>
        <v>0.25448864500000001</v>
      </c>
      <c r="M88" s="78">
        <v>33</v>
      </c>
      <c r="N88" s="9"/>
      <c r="O88" s="9"/>
      <c r="P88" s="9"/>
      <c r="Q88" s="9"/>
      <c r="R88" s="9"/>
      <c r="S88" s="9"/>
      <c r="T88" s="9"/>
      <c r="U88" s="9"/>
    </row>
    <row r="89" spans="1:21" ht="15" customHeight="1">
      <c r="A89" s="7" t="s">
        <v>129</v>
      </c>
      <c r="B89" s="8" t="s">
        <v>1</v>
      </c>
      <c r="C89" s="80">
        <v>4.5</v>
      </c>
      <c r="D89" s="80">
        <v>5</v>
      </c>
      <c r="E89" s="79" t="s">
        <v>1</v>
      </c>
      <c r="F89" s="79" t="s">
        <v>1</v>
      </c>
      <c r="G89" s="93">
        <v>1138.1999999999998</v>
      </c>
      <c r="H89" s="43">
        <v>0</v>
      </c>
      <c r="I89" s="45">
        <f t="shared" si="73"/>
        <v>0</v>
      </c>
      <c r="J89" s="94">
        <f t="shared" si="74"/>
        <v>1138.1999999999998</v>
      </c>
      <c r="K89" s="40">
        <f t="shared" si="75"/>
        <v>0</v>
      </c>
      <c r="L89" s="77">
        <f>1123*743*305/1000000000</f>
        <v>0.25448864500000001</v>
      </c>
      <c r="M89" s="78">
        <v>33</v>
      </c>
      <c r="N89" s="9"/>
      <c r="O89" s="9"/>
      <c r="P89" s="9"/>
      <c r="Q89" s="9"/>
      <c r="R89" s="9"/>
      <c r="S89" s="9"/>
      <c r="T89" s="9"/>
      <c r="U89" s="9"/>
    </row>
    <row r="90" spans="1:21" ht="15" customHeight="1">
      <c r="A90" s="7" t="s">
        <v>130</v>
      </c>
      <c r="B90" s="8" t="s">
        <v>1</v>
      </c>
      <c r="C90" s="80">
        <v>5</v>
      </c>
      <c r="D90" s="80">
        <v>5.6</v>
      </c>
      <c r="E90" s="79" t="s">
        <v>1</v>
      </c>
      <c r="F90" s="79" t="s">
        <v>1</v>
      </c>
      <c r="G90" s="93">
        <v>1167.5999999999999</v>
      </c>
      <c r="H90" s="43">
        <v>0</v>
      </c>
      <c r="I90" s="45">
        <f t="shared" si="73"/>
        <v>0</v>
      </c>
      <c r="J90" s="94">
        <f t="shared" si="74"/>
        <v>1167.5999999999999</v>
      </c>
      <c r="K90" s="40">
        <f t="shared" si="75"/>
        <v>0</v>
      </c>
      <c r="L90" s="77">
        <f>1123*743*305/1000000000</f>
        <v>0.25448864500000001</v>
      </c>
      <c r="M90" s="78">
        <v>33</v>
      </c>
      <c r="N90" s="9"/>
      <c r="O90" s="9"/>
      <c r="P90" s="9"/>
      <c r="Q90" s="9"/>
      <c r="R90" s="9"/>
      <c r="S90" s="9"/>
      <c r="T90" s="9"/>
      <c r="U90" s="9"/>
    </row>
    <row r="91" spans="1:21" ht="15" customHeight="1">
      <c r="A91" s="7" t="s">
        <v>131</v>
      </c>
      <c r="B91" s="8" t="s">
        <v>1</v>
      </c>
      <c r="C91" s="80">
        <v>5.6</v>
      </c>
      <c r="D91" s="80">
        <v>6.3</v>
      </c>
      <c r="E91" s="79" t="s">
        <v>1</v>
      </c>
      <c r="F91" s="79" t="s">
        <v>1</v>
      </c>
      <c r="G91" s="93">
        <v>1226.3999999999999</v>
      </c>
      <c r="H91" s="43">
        <v>0</v>
      </c>
      <c r="I91" s="45">
        <f t="shared" si="73"/>
        <v>0</v>
      </c>
      <c r="J91" s="94">
        <f t="shared" si="74"/>
        <v>1226.3999999999999</v>
      </c>
      <c r="K91" s="40">
        <f t="shared" si="75"/>
        <v>0</v>
      </c>
      <c r="L91" s="77">
        <f>1323*743*305/1000000000</f>
        <v>0.29981164500000002</v>
      </c>
      <c r="M91" s="78">
        <v>38</v>
      </c>
      <c r="N91" s="9"/>
      <c r="O91" s="9"/>
      <c r="P91" s="9"/>
      <c r="Q91" s="9"/>
      <c r="R91" s="9"/>
      <c r="S91" s="9"/>
      <c r="T91" s="9"/>
      <c r="U91" s="9"/>
    </row>
    <row r="92" spans="1:21" ht="15" customHeight="1">
      <c r="A92" s="7" t="s">
        <v>132</v>
      </c>
      <c r="B92" s="8" t="s">
        <v>1</v>
      </c>
      <c r="C92" s="80">
        <v>6.3</v>
      </c>
      <c r="D92" s="80">
        <v>7.1</v>
      </c>
      <c r="E92" s="79" t="s">
        <v>1</v>
      </c>
      <c r="F92" s="79" t="s">
        <v>1</v>
      </c>
      <c r="G92" s="93">
        <v>1260</v>
      </c>
      <c r="H92" s="43">
        <v>0</v>
      </c>
      <c r="I92" s="45">
        <f t="shared" si="73"/>
        <v>0</v>
      </c>
      <c r="J92" s="94">
        <f t="shared" si="74"/>
        <v>1260</v>
      </c>
      <c r="K92" s="40">
        <f t="shared" si="75"/>
        <v>0</v>
      </c>
      <c r="L92" s="77">
        <f>1323*743*305/1000000000</f>
        <v>0.29981164500000002</v>
      </c>
      <c r="M92" s="78">
        <v>38</v>
      </c>
      <c r="N92" s="9"/>
      <c r="O92" s="9"/>
      <c r="P92" s="9"/>
      <c r="Q92" s="9"/>
      <c r="R92" s="9"/>
      <c r="S92" s="9"/>
      <c r="T92" s="9"/>
      <c r="U92" s="9"/>
    </row>
    <row r="93" spans="1:21" ht="15" customHeight="1">
      <c r="A93" s="7" t="s">
        <v>133</v>
      </c>
      <c r="B93" s="8" t="s">
        <v>1</v>
      </c>
      <c r="C93" s="80">
        <v>7.1</v>
      </c>
      <c r="D93" s="80">
        <v>8</v>
      </c>
      <c r="E93" s="79" t="s">
        <v>1</v>
      </c>
      <c r="F93" s="79" t="s">
        <v>1</v>
      </c>
      <c r="G93" s="93">
        <v>1318.8</v>
      </c>
      <c r="H93" s="43">
        <v>0</v>
      </c>
      <c r="I93" s="45">
        <f t="shared" si="73"/>
        <v>0</v>
      </c>
      <c r="J93" s="94">
        <f t="shared" si="74"/>
        <v>1318.8</v>
      </c>
      <c r="K93" s="40">
        <f t="shared" si="75"/>
        <v>0</v>
      </c>
      <c r="L93" s="77">
        <f>1448*858*315/1000000000</f>
        <v>0.39135096000000003</v>
      </c>
      <c r="M93" s="78">
        <v>47</v>
      </c>
      <c r="N93" s="9"/>
      <c r="O93" s="9"/>
      <c r="P93" s="9"/>
      <c r="Q93" s="9"/>
      <c r="R93" s="9"/>
      <c r="S93" s="9"/>
      <c r="T93" s="9"/>
      <c r="U93" s="9"/>
    </row>
    <row r="94" spans="1:21" ht="15" customHeight="1">
      <c r="A94" s="7" t="s">
        <v>134</v>
      </c>
      <c r="B94" s="8" t="s">
        <v>1</v>
      </c>
      <c r="C94" s="80">
        <v>8</v>
      </c>
      <c r="D94" s="80">
        <v>9</v>
      </c>
      <c r="E94" s="79" t="s">
        <v>1</v>
      </c>
      <c r="F94" s="79" t="s">
        <v>1</v>
      </c>
      <c r="G94" s="93">
        <v>1360.8</v>
      </c>
      <c r="H94" s="43">
        <v>0</v>
      </c>
      <c r="I94" s="45">
        <f t="shared" si="73"/>
        <v>0</v>
      </c>
      <c r="J94" s="94">
        <f t="shared" si="74"/>
        <v>1360.8</v>
      </c>
      <c r="K94" s="40">
        <f t="shared" si="75"/>
        <v>0</v>
      </c>
      <c r="L94" s="77">
        <f>1448*858*315/1000000000</f>
        <v>0.39135096000000003</v>
      </c>
      <c r="M94" s="78">
        <v>47</v>
      </c>
      <c r="N94" s="9"/>
      <c r="O94" s="9"/>
      <c r="P94" s="9"/>
      <c r="Q94" s="9"/>
      <c r="R94" s="9"/>
      <c r="S94" s="9"/>
      <c r="T94" s="9"/>
      <c r="U94" s="9"/>
    </row>
    <row r="95" spans="1:21" ht="15" customHeight="1">
      <c r="A95" s="7" t="s">
        <v>135</v>
      </c>
      <c r="B95" s="8" t="s">
        <v>1</v>
      </c>
      <c r="C95" s="80">
        <v>9</v>
      </c>
      <c r="D95" s="80">
        <v>10</v>
      </c>
      <c r="E95" s="79" t="s">
        <v>1</v>
      </c>
      <c r="F95" s="79" t="s">
        <v>1</v>
      </c>
      <c r="G95" s="93">
        <v>1541.3999999999999</v>
      </c>
      <c r="H95" s="43">
        <v>0</v>
      </c>
      <c r="I95" s="45">
        <f t="shared" si="73"/>
        <v>0</v>
      </c>
      <c r="J95" s="94">
        <f t="shared" si="74"/>
        <v>1541.3999999999999</v>
      </c>
      <c r="K95" s="40">
        <f t="shared" si="75"/>
        <v>0</v>
      </c>
      <c r="L95" s="77">
        <f>1591*861*330/1000000000</f>
        <v>0.45205083000000001</v>
      </c>
      <c r="M95" s="78">
        <v>55</v>
      </c>
      <c r="N95" s="9"/>
      <c r="O95" s="9"/>
      <c r="P95" s="9"/>
      <c r="Q95" s="9"/>
      <c r="R95" s="9"/>
      <c r="S95" s="9"/>
      <c r="T95" s="9"/>
      <c r="U95" s="9"/>
    </row>
    <row r="96" spans="1:21" ht="15" customHeight="1">
      <c r="A96" s="7" t="s">
        <v>136</v>
      </c>
      <c r="B96" s="8" t="s">
        <v>1</v>
      </c>
      <c r="C96" s="80">
        <v>10</v>
      </c>
      <c r="D96" s="80">
        <v>11.2</v>
      </c>
      <c r="E96" s="79" t="s">
        <v>1</v>
      </c>
      <c r="F96" s="79" t="s">
        <v>1</v>
      </c>
      <c r="G96" s="93">
        <v>1600.1999999999998</v>
      </c>
      <c r="H96" s="43">
        <v>0</v>
      </c>
      <c r="I96" s="45">
        <f t="shared" si="73"/>
        <v>0</v>
      </c>
      <c r="J96" s="94">
        <f t="shared" si="74"/>
        <v>1600.1999999999998</v>
      </c>
      <c r="K96" s="40">
        <f t="shared" si="75"/>
        <v>0</v>
      </c>
      <c r="L96" s="77">
        <f>1591*861*330/1000000000</f>
        <v>0.45205083000000001</v>
      </c>
      <c r="M96" s="78">
        <v>55</v>
      </c>
      <c r="N96" s="9"/>
      <c r="O96" s="9"/>
      <c r="P96" s="9"/>
      <c r="Q96" s="9"/>
      <c r="R96" s="9"/>
      <c r="S96" s="9"/>
      <c r="T96" s="9"/>
      <c r="U96" s="9"/>
    </row>
    <row r="97" spans="1:21" ht="15" customHeight="1">
      <c r="A97" s="7" t="s">
        <v>137</v>
      </c>
      <c r="B97" s="8" t="s">
        <v>1</v>
      </c>
      <c r="C97" s="80">
        <v>11.2</v>
      </c>
      <c r="D97" s="80">
        <v>12.5</v>
      </c>
      <c r="E97" s="79" t="s">
        <v>1</v>
      </c>
      <c r="F97" s="79" t="s">
        <v>1</v>
      </c>
      <c r="G97" s="93">
        <v>1675.7999999999997</v>
      </c>
      <c r="H97" s="43">
        <v>0</v>
      </c>
      <c r="I97" s="45">
        <f t="shared" si="73"/>
        <v>0</v>
      </c>
      <c r="J97" s="94">
        <f t="shared" si="74"/>
        <v>1675.7999999999997</v>
      </c>
      <c r="K97" s="40">
        <f t="shared" si="75"/>
        <v>0</v>
      </c>
      <c r="L97" s="77">
        <f>1591*861*330/1000000000</f>
        <v>0.45205083000000001</v>
      </c>
      <c r="M97" s="78">
        <v>55</v>
      </c>
      <c r="N97" s="9"/>
      <c r="O97" s="9"/>
      <c r="P97" s="9"/>
      <c r="Q97" s="9"/>
      <c r="R97" s="9"/>
      <c r="S97" s="9"/>
      <c r="T97" s="9"/>
      <c r="U97" s="9"/>
    </row>
    <row r="98" spans="1:21" ht="15" customHeight="1">
      <c r="A98" s="7" t="s">
        <v>138</v>
      </c>
      <c r="B98" s="8" t="s">
        <v>1</v>
      </c>
      <c r="C98" s="80">
        <v>12.5</v>
      </c>
      <c r="D98" s="80">
        <v>14</v>
      </c>
      <c r="E98" s="79" t="s">
        <v>1</v>
      </c>
      <c r="F98" s="79" t="s">
        <v>1</v>
      </c>
      <c r="G98" s="93">
        <v>1722</v>
      </c>
      <c r="H98" s="43">
        <v>0</v>
      </c>
      <c r="I98" s="45">
        <f t="shared" si="73"/>
        <v>0</v>
      </c>
      <c r="J98" s="94">
        <f t="shared" si="74"/>
        <v>1722</v>
      </c>
      <c r="K98" s="40">
        <f t="shared" si="75"/>
        <v>0</v>
      </c>
      <c r="L98" s="77">
        <f>1591*861*330/1000000000</f>
        <v>0.45205083000000001</v>
      </c>
      <c r="M98" s="78">
        <v>56</v>
      </c>
      <c r="N98" s="9"/>
      <c r="O98" s="9"/>
      <c r="P98" s="9"/>
      <c r="Q98" s="9"/>
      <c r="R98" s="9"/>
      <c r="S98" s="9"/>
      <c r="T98" s="9"/>
      <c r="U98" s="9"/>
    </row>
    <row r="99" spans="1:21" ht="15" customHeight="1">
      <c r="A99" s="7" t="s">
        <v>139</v>
      </c>
      <c r="B99" s="8" t="s">
        <v>1</v>
      </c>
      <c r="C99" s="80">
        <v>14</v>
      </c>
      <c r="D99" s="80">
        <v>16</v>
      </c>
      <c r="E99" s="79" t="s">
        <v>1</v>
      </c>
      <c r="F99" s="79" t="s">
        <v>1</v>
      </c>
      <c r="G99" s="93">
        <v>1789.1999999999998</v>
      </c>
      <c r="H99" s="43">
        <v>0</v>
      </c>
      <c r="I99" s="45">
        <f t="shared" si="73"/>
        <v>0</v>
      </c>
      <c r="J99" s="94">
        <f t="shared" si="74"/>
        <v>1789.1999999999998</v>
      </c>
      <c r="K99" s="40">
        <f t="shared" si="75"/>
        <v>0</v>
      </c>
      <c r="L99" s="77">
        <f>1591*861*330/1000000000</f>
        <v>0.45205083000000001</v>
      </c>
      <c r="M99" s="78">
        <v>56</v>
      </c>
      <c r="N99" s="9"/>
      <c r="O99" s="9"/>
      <c r="P99" s="9"/>
      <c r="Q99" s="9"/>
      <c r="R99" s="9"/>
      <c r="S99" s="9"/>
      <c r="T99" s="9"/>
      <c r="U99" s="9"/>
    </row>
    <row r="100" spans="1:21" ht="15" customHeight="1">
      <c r="A100" s="231" t="s">
        <v>140</v>
      </c>
      <c r="B100" s="232"/>
      <c r="C100" s="232"/>
      <c r="D100" s="226"/>
      <c r="E100" s="226"/>
      <c r="F100" s="226"/>
      <c r="G100" s="226"/>
      <c r="H100" s="226"/>
      <c r="I100" s="226"/>
      <c r="J100" s="226"/>
      <c r="K100" s="226"/>
      <c r="L100" s="226"/>
      <c r="M100" s="226"/>
      <c r="N100" s="9"/>
      <c r="O100" s="9"/>
      <c r="P100" s="9"/>
      <c r="Q100" s="9"/>
      <c r="R100" s="9"/>
      <c r="S100" s="9"/>
      <c r="T100" s="9"/>
      <c r="U100" s="9"/>
    </row>
    <row r="101" spans="1:21" ht="15" customHeight="1">
      <c r="A101" s="7" t="s">
        <v>141</v>
      </c>
      <c r="B101" s="8" t="s">
        <v>1</v>
      </c>
      <c r="C101" s="80">
        <v>3.6</v>
      </c>
      <c r="D101" s="80">
        <v>3.2</v>
      </c>
      <c r="E101" s="79" t="s">
        <v>1</v>
      </c>
      <c r="F101" s="79" t="s">
        <v>1</v>
      </c>
      <c r="G101" s="93">
        <v>1260</v>
      </c>
      <c r="H101" s="43">
        <v>0</v>
      </c>
      <c r="I101" s="45">
        <f t="shared" ref="I101:I109" si="76">$B$2</f>
        <v>0</v>
      </c>
      <c r="J101" s="94">
        <f t="shared" ref="J101:J122" si="77">G101*(1-I101)</f>
        <v>1260</v>
      </c>
      <c r="K101" s="40">
        <f t="shared" ref="K101:K122" si="78">J101*H101</f>
        <v>0</v>
      </c>
      <c r="L101" s="77">
        <f>1343*823*315/1000000000</f>
        <v>0.34816603499999998</v>
      </c>
      <c r="M101" s="78">
        <v>49</v>
      </c>
      <c r="N101" s="9"/>
      <c r="O101" s="9"/>
      <c r="P101" s="9"/>
      <c r="Q101" s="9"/>
      <c r="R101" s="9"/>
      <c r="S101" s="9"/>
      <c r="T101" s="9"/>
      <c r="U101" s="9"/>
    </row>
    <row r="102" spans="1:21" ht="15" customHeight="1">
      <c r="A102" s="7" t="s">
        <v>142</v>
      </c>
      <c r="B102" s="8" t="s">
        <v>1</v>
      </c>
      <c r="C102" s="80">
        <v>3.6</v>
      </c>
      <c r="D102" s="80">
        <v>4</v>
      </c>
      <c r="E102" s="79" t="s">
        <v>1</v>
      </c>
      <c r="F102" s="79" t="s">
        <v>1</v>
      </c>
      <c r="G102" s="93">
        <v>1302</v>
      </c>
      <c r="H102" s="43">
        <v>0</v>
      </c>
      <c r="I102" s="45">
        <f t="shared" si="76"/>
        <v>0</v>
      </c>
      <c r="J102" s="94">
        <f t="shared" si="77"/>
        <v>1302</v>
      </c>
      <c r="K102" s="40">
        <f t="shared" si="78"/>
        <v>0</v>
      </c>
      <c r="L102" s="77">
        <f>1343*823*315/1000000000</f>
        <v>0.34816603499999998</v>
      </c>
      <c r="M102" s="78">
        <v>49</v>
      </c>
      <c r="N102" s="9"/>
      <c r="O102" s="9"/>
      <c r="P102" s="9"/>
      <c r="Q102" s="9"/>
      <c r="R102" s="9"/>
      <c r="S102" s="9"/>
      <c r="T102" s="9"/>
      <c r="U102" s="9"/>
    </row>
    <row r="103" spans="1:21" ht="15" customHeight="1">
      <c r="A103" s="7" t="s">
        <v>143</v>
      </c>
      <c r="B103" s="8" t="s">
        <v>1</v>
      </c>
      <c r="C103" s="80">
        <v>5</v>
      </c>
      <c r="D103" s="80">
        <v>5.6</v>
      </c>
      <c r="E103" s="79" t="s">
        <v>1</v>
      </c>
      <c r="F103" s="79" t="s">
        <v>1</v>
      </c>
      <c r="G103" s="93">
        <v>1331.3999999999999</v>
      </c>
      <c r="H103" s="43">
        <v>0</v>
      </c>
      <c r="I103" s="45">
        <f t="shared" si="76"/>
        <v>0</v>
      </c>
      <c r="J103" s="94">
        <f t="shared" si="77"/>
        <v>1331.3999999999999</v>
      </c>
      <c r="K103" s="40">
        <f t="shared" si="78"/>
        <v>0</v>
      </c>
      <c r="L103" s="77">
        <f>1343*823*315/1000000000</f>
        <v>0.34816603499999998</v>
      </c>
      <c r="M103" s="78">
        <v>49</v>
      </c>
      <c r="N103" s="9"/>
      <c r="O103" s="9"/>
      <c r="P103" s="9"/>
      <c r="Q103" s="9"/>
      <c r="R103" s="9"/>
      <c r="S103" s="9"/>
      <c r="T103" s="9"/>
      <c r="U103" s="9"/>
    </row>
    <row r="104" spans="1:21" ht="15" customHeight="1">
      <c r="A104" s="7" t="s">
        <v>144</v>
      </c>
      <c r="B104" s="8" t="s">
        <v>1</v>
      </c>
      <c r="C104" s="80">
        <v>6.3</v>
      </c>
      <c r="D104" s="80">
        <v>7.1</v>
      </c>
      <c r="E104" s="79" t="s">
        <v>1</v>
      </c>
      <c r="F104" s="79" t="s">
        <v>1</v>
      </c>
      <c r="G104" s="93">
        <v>1638</v>
      </c>
      <c r="H104" s="43">
        <v>0</v>
      </c>
      <c r="I104" s="45">
        <f t="shared" si="76"/>
        <v>0</v>
      </c>
      <c r="J104" s="94">
        <f t="shared" si="77"/>
        <v>1638</v>
      </c>
      <c r="K104" s="40">
        <f t="shared" si="78"/>
        <v>0</v>
      </c>
      <c r="L104" s="77">
        <f>1548*828*345/1000000000</f>
        <v>0.44220167999999999</v>
      </c>
      <c r="M104" s="78">
        <v>58</v>
      </c>
    </row>
    <row r="105" spans="1:21" ht="15" customHeight="1">
      <c r="A105" s="7" t="s">
        <v>145</v>
      </c>
      <c r="B105" s="8" t="s">
        <v>1</v>
      </c>
      <c r="C105" s="80">
        <v>7.1</v>
      </c>
      <c r="D105" s="80">
        <v>8</v>
      </c>
      <c r="E105" s="79" t="s">
        <v>1</v>
      </c>
      <c r="F105" s="79" t="s">
        <v>1</v>
      </c>
      <c r="G105" s="93">
        <v>1688.3999999999999</v>
      </c>
      <c r="H105" s="43">
        <v>0</v>
      </c>
      <c r="I105" s="45">
        <f t="shared" si="76"/>
        <v>0</v>
      </c>
      <c r="J105" s="94">
        <f t="shared" si="77"/>
        <v>1688.3999999999999</v>
      </c>
      <c r="K105" s="40">
        <f t="shared" si="78"/>
        <v>0</v>
      </c>
      <c r="L105" s="77">
        <f>1548*828*345/1000000000</f>
        <v>0.44220167999999999</v>
      </c>
      <c r="M105" s="78">
        <v>58</v>
      </c>
    </row>
    <row r="106" spans="1:21" ht="15" customHeight="1">
      <c r="A106" s="7" t="s">
        <v>146</v>
      </c>
      <c r="B106" s="8" t="s">
        <v>1</v>
      </c>
      <c r="C106" s="80">
        <v>9</v>
      </c>
      <c r="D106" s="80">
        <v>10</v>
      </c>
      <c r="E106" s="79" t="s">
        <v>1</v>
      </c>
      <c r="F106" s="79" t="s">
        <v>1</v>
      </c>
      <c r="G106" s="93">
        <v>1814.3999999999999</v>
      </c>
      <c r="H106" s="43">
        <v>0</v>
      </c>
      <c r="I106" s="45">
        <f t="shared" si="76"/>
        <v>0</v>
      </c>
      <c r="J106" s="94">
        <f t="shared" si="77"/>
        <v>1814.3999999999999</v>
      </c>
      <c r="K106" s="40">
        <f t="shared" si="78"/>
        <v>0</v>
      </c>
      <c r="L106" s="77">
        <f>1548*828*345/1000000000</f>
        <v>0.44220167999999999</v>
      </c>
      <c r="M106" s="78">
        <v>58</v>
      </c>
    </row>
    <row r="107" spans="1:21" ht="15" customHeight="1">
      <c r="A107" s="7" t="s">
        <v>147</v>
      </c>
      <c r="B107" s="8" t="s">
        <v>1</v>
      </c>
      <c r="C107" s="80">
        <v>11.2</v>
      </c>
      <c r="D107" s="80">
        <v>12.5</v>
      </c>
      <c r="E107" s="79" t="s">
        <v>1</v>
      </c>
      <c r="F107" s="79" t="s">
        <v>1</v>
      </c>
      <c r="G107" s="93">
        <v>1890</v>
      </c>
      <c r="H107" s="43">
        <v>0</v>
      </c>
      <c r="I107" s="45">
        <f t="shared" si="76"/>
        <v>0</v>
      </c>
      <c r="J107" s="94">
        <f t="shared" si="77"/>
        <v>1890</v>
      </c>
      <c r="K107" s="40">
        <f t="shared" si="78"/>
        <v>0</v>
      </c>
      <c r="L107" s="77">
        <f>1828*828*345/1000000000</f>
        <v>0.52218648000000001</v>
      </c>
      <c r="M107" s="78">
        <v>68</v>
      </c>
    </row>
    <row r="108" spans="1:21" ht="15" customHeight="1">
      <c r="A108" s="7" t="s">
        <v>148</v>
      </c>
      <c r="B108" s="8" t="s">
        <v>1</v>
      </c>
      <c r="C108" s="80">
        <v>12.5</v>
      </c>
      <c r="D108" s="80">
        <v>14</v>
      </c>
      <c r="E108" s="79" t="s">
        <v>1</v>
      </c>
      <c r="F108" s="79" t="s">
        <v>1</v>
      </c>
      <c r="G108" s="93">
        <v>2032.7999999999997</v>
      </c>
      <c r="H108" s="43">
        <v>0</v>
      </c>
      <c r="I108" s="45">
        <f t="shared" si="76"/>
        <v>0</v>
      </c>
      <c r="J108" s="94">
        <f t="shared" si="77"/>
        <v>2032.7999999999997</v>
      </c>
      <c r="K108" s="40">
        <f t="shared" si="78"/>
        <v>0</v>
      </c>
      <c r="L108" s="77">
        <f>1828*828*345/1000000000</f>
        <v>0.52218648000000001</v>
      </c>
      <c r="M108" s="78">
        <v>68</v>
      </c>
    </row>
    <row r="109" spans="1:21" ht="15" customHeight="1">
      <c r="A109" s="7" t="s">
        <v>149</v>
      </c>
      <c r="B109" s="8" t="s">
        <v>1</v>
      </c>
      <c r="C109" s="80">
        <v>14</v>
      </c>
      <c r="D109" s="80">
        <v>16</v>
      </c>
      <c r="E109" s="79" t="s">
        <v>1</v>
      </c>
      <c r="F109" s="79" t="s">
        <v>1</v>
      </c>
      <c r="G109" s="93">
        <v>2079</v>
      </c>
      <c r="H109" s="43">
        <v>0</v>
      </c>
      <c r="I109" s="45">
        <f t="shared" si="76"/>
        <v>0</v>
      </c>
      <c r="J109" s="94">
        <f t="shared" si="77"/>
        <v>2079</v>
      </c>
      <c r="K109" s="40">
        <f t="shared" si="78"/>
        <v>0</v>
      </c>
      <c r="L109" s="77">
        <f>1828*828*345/1000000000</f>
        <v>0.52218648000000001</v>
      </c>
      <c r="M109" s="78">
        <v>68</v>
      </c>
    </row>
    <row r="110" spans="1:21" ht="15" customHeight="1">
      <c r="A110" s="231" t="s">
        <v>150</v>
      </c>
      <c r="B110" s="232"/>
      <c r="C110" s="232"/>
      <c r="D110" s="226"/>
      <c r="E110" s="226"/>
      <c r="F110" s="226"/>
      <c r="G110" s="226"/>
      <c r="H110" s="226"/>
      <c r="I110" s="226"/>
      <c r="J110" s="226"/>
      <c r="K110" s="226"/>
      <c r="L110" s="226"/>
      <c r="M110" s="226"/>
    </row>
    <row r="111" spans="1:21" ht="15" customHeight="1">
      <c r="A111" s="7" t="s">
        <v>151</v>
      </c>
      <c r="B111" s="8" t="s">
        <v>1</v>
      </c>
      <c r="C111" s="80">
        <v>14</v>
      </c>
      <c r="D111" s="80">
        <v>10</v>
      </c>
      <c r="E111" s="79" t="s">
        <v>1</v>
      </c>
      <c r="F111" s="79" t="s">
        <v>1</v>
      </c>
      <c r="G111" s="93">
        <v>1642.1999999999998</v>
      </c>
      <c r="H111" s="43">
        <v>0</v>
      </c>
      <c r="I111" s="45">
        <f t="shared" ref="I111:I114" si="79">$B$2</f>
        <v>0</v>
      </c>
      <c r="J111" s="94">
        <f t="shared" si="77"/>
        <v>1642.1999999999998</v>
      </c>
      <c r="K111" s="40">
        <f t="shared" si="78"/>
        <v>0</v>
      </c>
      <c r="L111" s="77">
        <f>1517*788*363/1000000000</f>
        <v>0.43392874799999998</v>
      </c>
      <c r="M111" s="78">
        <v>71</v>
      </c>
    </row>
    <row r="112" spans="1:21" ht="15" customHeight="1">
      <c r="A112" s="7" t="s">
        <v>152</v>
      </c>
      <c r="B112" s="8" t="s">
        <v>1</v>
      </c>
      <c r="C112" s="80">
        <v>22.4</v>
      </c>
      <c r="D112" s="80">
        <v>16</v>
      </c>
      <c r="E112" s="79" t="s">
        <v>1</v>
      </c>
      <c r="F112" s="79" t="s">
        <v>1</v>
      </c>
      <c r="G112" s="93">
        <v>3246.5999999999995</v>
      </c>
      <c r="H112" s="43">
        <v>0</v>
      </c>
      <c r="I112" s="45">
        <f t="shared" si="79"/>
        <v>0</v>
      </c>
      <c r="J112" s="94">
        <f t="shared" si="77"/>
        <v>3246.5999999999995</v>
      </c>
      <c r="K112" s="40">
        <f t="shared" si="78"/>
        <v>0</v>
      </c>
      <c r="L112" s="77">
        <f>1843*1203*676/1000000000</f>
        <v>1.4987792040000001</v>
      </c>
      <c r="M112" s="78">
        <v>182</v>
      </c>
    </row>
    <row r="113" spans="1:13" ht="15" customHeight="1">
      <c r="A113" s="7" t="s">
        <v>153</v>
      </c>
      <c r="B113" s="8" t="s">
        <v>1</v>
      </c>
      <c r="C113" s="80">
        <v>28</v>
      </c>
      <c r="D113" s="80">
        <v>20</v>
      </c>
      <c r="E113" s="79" t="s">
        <v>1</v>
      </c>
      <c r="F113" s="79" t="s">
        <v>1</v>
      </c>
      <c r="G113" s="93">
        <v>3481.7999999999997</v>
      </c>
      <c r="H113" s="43">
        <v>0</v>
      </c>
      <c r="I113" s="45">
        <f t="shared" si="79"/>
        <v>0</v>
      </c>
      <c r="J113" s="94">
        <f t="shared" si="77"/>
        <v>3481.7999999999997</v>
      </c>
      <c r="K113" s="40">
        <f t="shared" si="78"/>
        <v>0</v>
      </c>
      <c r="L113" s="77">
        <f>1843*1203*676/1000000000</f>
        <v>1.4987792040000001</v>
      </c>
      <c r="M113" s="78">
        <v>188</v>
      </c>
    </row>
    <row r="114" spans="1:13" ht="15" customHeight="1">
      <c r="A114" s="7" t="s">
        <v>154</v>
      </c>
      <c r="B114" s="8" t="s">
        <v>1</v>
      </c>
      <c r="C114" s="80">
        <v>28</v>
      </c>
      <c r="D114" s="80">
        <v>20</v>
      </c>
      <c r="E114" s="79" t="s">
        <v>1</v>
      </c>
      <c r="F114" s="79" t="s">
        <v>1</v>
      </c>
      <c r="G114" s="93">
        <v>3528</v>
      </c>
      <c r="H114" s="43">
        <v>0</v>
      </c>
      <c r="I114" s="45">
        <f t="shared" si="79"/>
        <v>0</v>
      </c>
      <c r="J114" s="94">
        <f t="shared" si="77"/>
        <v>3528</v>
      </c>
      <c r="K114" s="40">
        <f t="shared" si="78"/>
        <v>0</v>
      </c>
      <c r="L114" s="77">
        <f>1843*1203*676/1000000000</f>
        <v>1.4987792040000001</v>
      </c>
      <c r="M114" s="78">
        <v>188</v>
      </c>
    </row>
    <row r="115" spans="1:13" ht="15" customHeight="1">
      <c r="A115" s="231" t="s">
        <v>155</v>
      </c>
      <c r="B115" s="232"/>
      <c r="C115" s="232"/>
      <c r="D115" s="226"/>
      <c r="E115" s="226"/>
      <c r="F115" s="226"/>
      <c r="G115" s="226"/>
      <c r="H115" s="226"/>
      <c r="I115" s="226"/>
      <c r="J115" s="226"/>
      <c r="K115" s="226"/>
      <c r="L115" s="226"/>
      <c r="M115" s="226"/>
    </row>
    <row r="116" spans="1:13" ht="15" customHeight="1">
      <c r="A116" s="7" t="s">
        <v>161</v>
      </c>
      <c r="B116" s="8" t="s">
        <v>1</v>
      </c>
      <c r="C116" s="235" t="s">
        <v>396</v>
      </c>
      <c r="D116" s="236"/>
      <c r="E116" s="79" t="s">
        <v>1</v>
      </c>
      <c r="F116" s="79" t="s">
        <v>1</v>
      </c>
      <c r="G116" s="93">
        <v>1587.6</v>
      </c>
      <c r="H116" s="43">
        <v>0</v>
      </c>
      <c r="I116" s="45">
        <f t="shared" ref="I116:I122" si="80">$B$2</f>
        <v>0</v>
      </c>
      <c r="J116" s="94">
        <f t="shared" si="77"/>
        <v>1587.6</v>
      </c>
      <c r="K116" s="40">
        <f t="shared" si="78"/>
        <v>0</v>
      </c>
      <c r="L116" s="77">
        <f>1165*1050*315/1000000000</f>
        <v>0.38532375000000002</v>
      </c>
      <c r="M116" s="78">
        <v>53</v>
      </c>
    </row>
    <row r="117" spans="1:13" ht="15" customHeight="1">
      <c r="A117" s="7" t="s">
        <v>162</v>
      </c>
      <c r="B117" s="8" t="s">
        <v>1</v>
      </c>
      <c r="C117" s="235" t="s">
        <v>397</v>
      </c>
      <c r="D117" s="236"/>
      <c r="E117" s="79" t="s">
        <v>1</v>
      </c>
      <c r="F117" s="79" t="s">
        <v>1</v>
      </c>
      <c r="G117" s="93">
        <v>1654.7999999999997</v>
      </c>
      <c r="H117" s="43">
        <v>0</v>
      </c>
      <c r="I117" s="45">
        <f t="shared" si="80"/>
        <v>0</v>
      </c>
      <c r="J117" s="94">
        <f t="shared" si="77"/>
        <v>1654.7999999999997</v>
      </c>
      <c r="K117" s="40">
        <f t="shared" si="78"/>
        <v>0</v>
      </c>
      <c r="L117" s="77">
        <f>1165*1050*315/1000000000</f>
        <v>0.38532375000000002</v>
      </c>
      <c r="M117" s="78">
        <v>53</v>
      </c>
    </row>
    <row r="118" spans="1:13" ht="15" customHeight="1">
      <c r="A118" s="7" t="s">
        <v>163</v>
      </c>
      <c r="B118" s="8" t="s">
        <v>1</v>
      </c>
      <c r="C118" s="235" t="s">
        <v>398</v>
      </c>
      <c r="D118" s="236"/>
      <c r="E118" s="79" t="s">
        <v>1</v>
      </c>
      <c r="F118" s="79" t="s">
        <v>1</v>
      </c>
      <c r="G118" s="93">
        <v>1898.3999999999999</v>
      </c>
      <c r="H118" s="43">
        <v>0</v>
      </c>
      <c r="I118" s="45">
        <f t="shared" si="80"/>
        <v>0</v>
      </c>
      <c r="J118" s="94">
        <f t="shared" si="77"/>
        <v>1898.3999999999999</v>
      </c>
      <c r="K118" s="40">
        <f t="shared" si="78"/>
        <v>0</v>
      </c>
      <c r="L118" s="77">
        <f>1320*1087*400/1000000000</f>
        <v>0.573936</v>
      </c>
      <c r="M118" s="78">
        <v>66.5</v>
      </c>
    </row>
    <row r="119" spans="1:13" ht="15" customHeight="1">
      <c r="A119" s="7" t="s">
        <v>164</v>
      </c>
      <c r="B119" s="8" t="s">
        <v>1</v>
      </c>
      <c r="C119" s="235" t="s">
        <v>399</v>
      </c>
      <c r="D119" s="236"/>
      <c r="E119" s="79" t="s">
        <v>1</v>
      </c>
      <c r="F119" s="79" t="s">
        <v>1</v>
      </c>
      <c r="G119" s="93">
        <v>1890</v>
      </c>
      <c r="H119" s="43">
        <v>0</v>
      </c>
      <c r="I119" s="45">
        <f t="shared" si="80"/>
        <v>0</v>
      </c>
      <c r="J119" s="94">
        <f t="shared" si="77"/>
        <v>1890</v>
      </c>
      <c r="K119" s="40">
        <f t="shared" si="78"/>
        <v>0</v>
      </c>
      <c r="L119" s="77">
        <f>1320*1087*400/1000000000</f>
        <v>0.573936</v>
      </c>
      <c r="M119" s="78">
        <v>66.5</v>
      </c>
    </row>
    <row r="120" spans="1:13" ht="15" customHeight="1">
      <c r="A120" s="7" t="s">
        <v>165</v>
      </c>
      <c r="B120" s="8" t="s">
        <v>1</v>
      </c>
      <c r="C120" s="235" t="s">
        <v>402</v>
      </c>
      <c r="D120" s="236"/>
      <c r="E120" s="79" t="s">
        <v>1</v>
      </c>
      <c r="F120" s="79" t="s">
        <v>1</v>
      </c>
      <c r="G120" s="93">
        <v>2931.6</v>
      </c>
      <c r="H120" s="43">
        <v>0</v>
      </c>
      <c r="I120" s="45">
        <f t="shared" si="80"/>
        <v>0</v>
      </c>
      <c r="J120" s="94">
        <f t="shared" si="77"/>
        <v>2931.6</v>
      </c>
      <c r="K120" s="40">
        <f t="shared" si="78"/>
        <v>0</v>
      </c>
      <c r="L120" s="77">
        <f>1550*1540*470/1000000000</f>
        <v>1.1218900000000001</v>
      </c>
      <c r="M120" s="78">
        <v>130</v>
      </c>
    </row>
    <row r="121" spans="1:13" ht="15" customHeight="1">
      <c r="A121" s="7" t="s">
        <v>166</v>
      </c>
      <c r="B121" s="8" t="s">
        <v>1</v>
      </c>
      <c r="C121" s="235" t="s">
        <v>401</v>
      </c>
      <c r="D121" s="236"/>
      <c r="E121" s="79" t="s">
        <v>1</v>
      </c>
      <c r="F121" s="79" t="s">
        <v>1</v>
      </c>
      <c r="G121" s="93">
        <v>3002.9999999999995</v>
      </c>
      <c r="H121" s="43">
        <v>0</v>
      </c>
      <c r="I121" s="45">
        <f t="shared" si="80"/>
        <v>0</v>
      </c>
      <c r="J121" s="94">
        <f t="shared" si="77"/>
        <v>3002.9999999999995</v>
      </c>
      <c r="K121" s="40">
        <f t="shared" si="78"/>
        <v>0</v>
      </c>
      <c r="L121" s="77">
        <f>1550*1540*470/1000000000</f>
        <v>1.1218900000000001</v>
      </c>
      <c r="M121" s="78">
        <v>130</v>
      </c>
    </row>
    <row r="122" spans="1:13" ht="15" customHeight="1">
      <c r="A122" s="7" t="s">
        <v>167</v>
      </c>
      <c r="B122" s="8" t="s">
        <v>1</v>
      </c>
      <c r="C122" s="235" t="s">
        <v>400</v>
      </c>
      <c r="D122" s="236"/>
      <c r="E122" s="79" t="s">
        <v>1</v>
      </c>
      <c r="F122" s="79" t="s">
        <v>1</v>
      </c>
      <c r="G122" s="93">
        <v>5871.5999999999995</v>
      </c>
      <c r="H122" s="43">
        <v>0</v>
      </c>
      <c r="I122" s="45">
        <f t="shared" si="80"/>
        <v>0</v>
      </c>
      <c r="J122" s="94">
        <f t="shared" si="77"/>
        <v>5871.5999999999995</v>
      </c>
      <c r="K122" s="40">
        <f t="shared" si="78"/>
        <v>0</v>
      </c>
      <c r="L122" s="77">
        <f>1710*1610*700/1000000000</f>
        <v>1.92717</v>
      </c>
      <c r="M122" s="78">
        <v>236</v>
      </c>
    </row>
  </sheetData>
  <mergeCells count="212">
    <mergeCell ref="C116:D116"/>
    <mergeCell ref="C117:D117"/>
    <mergeCell ref="C118:D118"/>
    <mergeCell ref="C119:D119"/>
    <mergeCell ref="C120:D120"/>
    <mergeCell ref="C121:D121"/>
    <mergeCell ref="C122:D122"/>
    <mergeCell ref="Q13:S13"/>
    <mergeCell ref="G2:I2"/>
    <mergeCell ref="K2:L2"/>
    <mergeCell ref="A4:C4"/>
    <mergeCell ref="E4:I4"/>
    <mergeCell ref="J4:M4"/>
    <mergeCell ref="B5:C5"/>
    <mergeCell ref="E5:I5"/>
    <mergeCell ref="J5:M5"/>
    <mergeCell ref="C2:E2"/>
    <mergeCell ref="A6:M6"/>
    <mergeCell ref="A7:A8"/>
    <mergeCell ref="C7:D7"/>
    <mergeCell ref="E7:F7"/>
    <mergeCell ref="G7:G8"/>
    <mergeCell ref="H7:H8"/>
    <mergeCell ref="I7:I8"/>
    <mergeCell ref="J7:J8"/>
    <mergeCell ref="K7:K8"/>
    <mergeCell ref="L7:L8"/>
    <mergeCell ref="M7:M8"/>
    <mergeCell ref="A9:C9"/>
    <mergeCell ref="D9:M9"/>
    <mergeCell ref="A13:C13"/>
    <mergeCell ref="D13:M13"/>
    <mergeCell ref="A33:A34"/>
    <mergeCell ref="A17:C17"/>
    <mergeCell ref="D33:D34"/>
    <mergeCell ref="E33:E34"/>
    <mergeCell ref="F33:F34"/>
    <mergeCell ref="G33:G34"/>
    <mergeCell ref="I33:I34"/>
    <mergeCell ref="J33:J34"/>
    <mergeCell ref="K33:K34"/>
    <mergeCell ref="A64:A65"/>
    <mergeCell ref="A46:A47"/>
    <mergeCell ref="A48:A49"/>
    <mergeCell ref="A50:A51"/>
    <mergeCell ref="A52:A53"/>
    <mergeCell ref="A54:A55"/>
    <mergeCell ref="A35:A36"/>
    <mergeCell ref="A37:A38"/>
    <mergeCell ref="A39:A40"/>
    <mergeCell ref="A41:A42"/>
    <mergeCell ref="A82:C82"/>
    <mergeCell ref="A100:C100"/>
    <mergeCell ref="A110:C110"/>
    <mergeCell ref="A115:C115"/>
    <mergeCell ref="A66:A67"/>
    <mergeCell ref="A68:A69"/>
    <mergeCell ref="A23:C23"/>
    <mergeCell ref="A32:C32"/>
    <mergeCell ref="A43:C43"/>
    <mergeCell ref="C33:C34"/>
    <mergeCell ref="C35:C36"/>
    <mergeCell ref="C39:C40"/>
    <mergeCell ref="A44:A45"/>
    <mergeCell ref="C44:C45"/>
    <mergeCell ref="C48:C49"/>
    <mergeCell ref="C52:C53"/>
    <mergeCell ref="C56:C57"/>
    <mergeCell ref="C60:C61"/>
    <mergeCell ref="C64:C65"/>
    <mergeCell ref="C68:C69"/>
    <mergeCell ref="A56:A57"/>
    <mergeCell ref="A58:A59"/>
    <mergeCell ref="A60:A61"/>
    <mergeCell ref="A62:A63"/>
    <mergeCell ref="I35:I36"/>
    <mergeCell ref="J35:J36"/>
    <mergeCell ref="K35:K36"/>
    <mergeCell ref="C37:C38"/>
    <mergeCell ref="D37:D38"/>
    <mergeCell ref="E37:E38"/>
    <mergeCell ref="F37:F38"/>
    <mergeCell ref="G37:G38"/>
    <mergeCell ref="I37:I38"/>
    <mergeCell ref="J37:J38"/>
    <mergeCell ref="K37:K38"/>
    <mergeCell ref="D35:D36"/>
    <mergeCell ref="E35:E36"/>
    <mergeCell ref="F35:F36"/>
    <mergeCell ref="G35:G36"/>
    <mergeCell ref="I39:I40"/>
    <mergeCell ref="J39:J40"/>
    <mergeCell ref="K39:K40"/>
    <mergeCell ref="C41:C42"/>
    <mergeCell ref="D41:D42"/>
    <mergeCell ref="E41:E42"/>
    <mergeCell ref="F41:F42"/>
    <mergeCell ref="G41:G42"/>
    <mergeCell ref="I41:I42"/>
    <mergeCell ref="J41:J42"/>
    <mergeCell ref="K41:K42"/>
    <mergeCell ref="D39:D40"/>
    <mergeCell ref="E39:E40"/>
    <mergeCell ref="F39:F40"/>
    <mergeCell ref="G39:G40"/>
    <mergeCell ref="I44:I45"/>
    <mergeCell ref="J44:J45"/>
    <mergeCell ref="K44:K45"/>
    <mergeCell ref="C46:C47"/>
    <mergeCell ref="D46:D47"/>
    <mergeCell ref="E46:E47"/>
    <mergeCell ref="F46:F47"/>
    <mergeCell ref="G46:G47"/>
    <mergeCell ref="I46:I47"/>
    <mergeCell ref="J46:J47"/>
    <mergeCell ref="K46:K47"/>
    <mergeCell ref="D44:D45"/>
    <mergeCell ref="E44:E45"/>
    <mergeCell ref="F44:F45"/>
    <mergeCell ref="G44:G45"/>
    <mergeCell ref="I48:I49"/>
    <mergeCell ref="J48:J49"/>
    <mergeCell ref="K48:K49"/>
    <mergeCell ref="C50:C51"/>
    <mergeCell ref="D50:D51"/>
    <mergeCell ref="E50:E51"/>
    <mergeCell ref="F50:F51"/>
    <mergeCell ref="G50:G51"/>
    <mergeCell ref="I50:I51"/>
    <mergeCell ref="J50:J51"/>
    <mergeCell ref="K50:K51"/>
    <mergeCell ref="D48:D49"/>
    <mergeCell ref="E48:E49"/>
    <mergeCell ref="F48:F49"/>
    <mergeCell ref="G48:G49"/>
    <mergeCell ref="I52:I53"/>
    <mergeCell ref="J52:J53"/>
    <mergeCell ref="K52:K53"/>
    <mergeCell ref="C54:C55"/>
    <mergeCell ref="D54:D55"/>
    <mergeCell ref="E54:E55"/>
    <mergeCell ref="F54:F55"/>
    <mergeCell ref="G54:G55"/>
    <mergeCell ref="I54:I55"/>
    <mergeCell ref="J54:J55"/>
    <mergeCell ref="K54:K55"/>
    <mergeCell ref="D52:D53"/>
    <mergeCell ref="E52:E53"/>
    <mergeCell ref="F52:F53"/>
    <mergeCell ref="G52:G53"/>
    <mergeCell ref="I56:I57"/>
    <mergeCell ref="J56:J57"/>
    <mergeCell ref="K56:K57"/>
    <mergeCell ref="C58:C59"/>
    <mergeCell ref="D58:D59"/>
    <mergeCell ref="E58:E59"/>
    <mergeCell ref="F58:F59"/>
    <mergeCell ref="G58:G59"/>
    <mergeCell ref="I58:I59"/>
    <mergeCell ref="J58:J59"/>
    <mergeCell ref="K58:K59"/>
    <mergeCell ref="D56:D57"/>
    <mergeCell ref="E56:E57"/>
    <mergeCell ref="F56:F57"/>
    <mergeCell ref="G56:G57"/>
    <mergeCell ref="K60:K61"/>
    <mergeCell ref="C62:C63"/>
    <mergeCell ref="D62:D63"/>
    <mergeCell ref="E62:E63"/>
    <mergeCell ref="F62:F63"/>
    <mergeCell ref="G62:G63"/>
    <mergeCell ref="I62:I63"/>
    <mergeCell ref="J62:J63"/>
    <mergeCell ref="K62:K63"/>
    <mergeCell ref="D60:D61"/>
    <mergeCell ref="E60:E61"/>
    <mergeCell ref="F60:F61"/>
    <mergeCell ref="G60:G61"/>
    <mergeCell ref="C66:C67"/>
    <mergeCell ref="D66:D67"/>
    <mergeCell ref="E66:E67"/>
    <mergeCell ref="F66:F67"/>
    <mergeCell ref="G66:G67"/>
    <mergeCell ref="I66:I67"/>
    <mergeCell ref="J66:J67"/>
    <mergeCell ref="K66:K67"/>
    <mergeCell ref="D70:M70"/>
    <mergeCell ref="A70:C70"/>
    <mergeCell ref="D82:M82"/>
    <mergeCell ref="D100:M100"/>
    <mergeCell ref="D110:M110"/>
    <mergeCell ref="D115:M115"/>
    <mergeCell ref="I68:I69"/>
    <mergeCell ref="J68:J69"/>
    <mergeCell ref="K68:K69"/>
    <mergeCell ref="D17:M17"/>
    <mergeCell ref="D23:M23"/>
    <mergeCell ref="D32:M32"/>
    <mergeCell ref="D43:M43"/>
    <mergeCell ref="D68:D69"/>
    <mergeCell ref="E68:E69"/>
    <mergeCell ref="F68:F69"/>
    <mergeCell ref="G68:G69"/>
    <mergeCell ref="I64:I65"/>
    <mergeCell ref="J64:J65"/>
    <mergeCell ref="K64:K65"/>
    <mergeCell ref="D64:D65"/>
    <mergeCell ref="E64:E65"/>
    <mergeCell ref="F64:F65"/>
    <mergeCell ref="G64:G65"/>
    <mergeCell ref="I60:I61"/>
    <mergeCell ref="J60:J61"/>
  </mergeCells>
  <pageMargins left="0.23622047244094491" right="0.23622047244094491" top="0.74803149606299213" bottom="0.74803149606299213" header="0.31496062992125984" footer="0.31496062992125984"/>
  <pageSetup paperSize="8" scale="95" fitToHeight="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</vt:i4>
      </vt:variant>
    </vt:vector>
  </HeadingPairs>
  <TitlesOfParts>
    <vt:vector size="9" baseType="lpstr">
      <vt:lpstr>СОДЕРЖАНИЕ</vt:lpstr>
      <vt:lpstr>Бытовые сплит-системы</vt:lpstr>
      <vt:lpstr>RAC SALES</vt:lpstr>
      <vt:lpstr>Мультисплит-системы</vt:lpstr>
      <vt:lpstr>Полупромышленные сплит-системы</vt:lpstr>
      <vt:lpstr>Мультизональные системы</vt:lpstr>
      <vt:lpstr>'Мультизональные системы'!Область_печати</vt:lpstr>
      <vt:lpstr>'Мультисплит-системы'!Область_печати</vt:lpstr>
      <vt:lpstr>'Полупромышленные сплит-системы'!Область_печати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2015-04-02T08:13:00Z</dcterms:modified>
</cp:coreProperties>
</file>