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0" yWindow="0" windowWidth="19280" windowHeight="7450" tabRatio="976" activeTab="2"/>
  </bookViews>
  <sheets>
    <sheet name="Меню" sheetId="1" r:id="rId1"/>
    <sheet name="Калькулятор " sheetId="2" r:id="rId2"/>
    <sheet name="Бытовая серия" sheetId="3" r:id="rId3"/>
    <sheet name="Кассетные блоки" sheetId="4" r:id="rId4"/>
    <sheet name="Канальные блоки" sheetId="5" r:id="rId5"/>
    <sheet name="Универсальные блоки" sheetId="6" r:id="rId6"/>
    <sheet name="Big Multi" sheetId="8" r:id="rId7"/>
    <sheet name="Зимний комплект" sheetId="14" r:id="rId8"/>
    <sheet name="Flexible Multi" sheetId="9" r:id="rId9"/>
    <sheet name="VRF" sheetId="10" r:id="rId10"/>
    <sheet name=" WaterStage" sheetId="11" r:id="rId11"/>
    <sheet name="Защита объектов" sheetId="12" r:id="rId12"/>
    <sheet name="Доставка" sheetId="13" r:id="rId13"/>
  </sheets>
  <definedNames>
    <definedName name="Z_FA833650_9147_48FF_9246_B3943D91CD8D_.wvu.Cols" localSheetId="10" hidden="1">' WaterStage'!#REF!</definedName>
    <definedName name="Z_FA833650_9147_48FF_9246_B3943D91CD8D_.wvu.Cols" localSheetId="6" hidden="1">'Big Multi'!#REF!</definedName>
    <definedName name="Z_FA833650_9147_48FF_9246_B3943D91CD8D_.wvu.Cols" localSheetId="8" hidden="1">'Flexible Multi'!#REF!</definedName>
    <definedName name="Z_FA833650_9147_48FF_9246_B3943D91CD8D_.wvu.Cols" localSheetId="9" hidden="1">VRF!#REF!</definedName>
    <definedName name="Z_FA833650_9147_48FF_9246_B3943D91CD8D_.wvu.Cols" localSheetId="2" hidden="1">'Бытовая серия'!#REF!</definedName>
    <definedName name="Z_FA833650_9147_48FF_9246_B3943D91CD8D_.wvu.Cols" localSheetId="7" hidden="1">'Зимний комплект'!#REF!</definedName>
    <definedName name="Z_FA833650_9147_48FF_9246_B3943D91CD8D_.wvu.Cols" localSheetId="4" hidden="1">'Канальные блоки'!#REF!</definedName>
    <definedName name="Z_FA833650_9147_48FF_9246_B3943D91CD8D_.wvu.Cols" localSheetId="3" hidden="1">'Кассетные блоки'!#REF!</definedName>
    <definedName name="Z_FA833650_9147_48FF_9246_B3943D91CD8D_.wvu.Cols" localSheetId="5" hidden="1">'Универсальные блоки'!#REF!</definedName>
    <definedName name="Z_FA833650_9147_48FF_9246_B3943D91CD8D_.wvu.PrintArea" localSheetId="10" hidden="1">' WaterStage'!$A$1:$N$104</definedName>
    <definedName name="Z_FA833650_9147_48FF_9246_B3943D91CD8D_.wvu.PrintArea" localSheetId="6" hidden="1">'Big Multi'!$A$1:$O$72</definedName>
    <definedName name="Z_FA833650_9147_48FF_9246_B3943D91CD8D_.wvu.PrintArea" localSheetId="8" hidden="1">'Flexible Multi'!$A$1:$Q$142</definedName>
    <definedName name="Z_FA833650_9147_48FF_9246_B3943D91CD8D_.wvu.PrintArea" localSheetId="9" hidden="1">VRF!$A$1:$O$418</definedName>
    <definedName name="Z_FA833650_9147_48FF_9246_B3943D91CD8D_.wvu.PrintArea" localSheetId="2" hidden="1">'Бытовая серия'!$A$1:$Q$191</definedName>
    <definedName name="Z_FA833650_9147_48FF_9246_B3943D91CD8D_.wvu.PrintArea" localSheetId="11" hidden="1">'Защита объектов'!$A$1:$D$33</definedName>
    <definedName name="Z_FA833650_9147_48FF_9246_B3943D91CD8D_.wvu.PrintArea" localSheetId="7" hidden="1">'Зимний комплект'!$A$1:$Q$131</definedName>
    <definedName name="Z_FA833650_9147_48FF_9246_B3943D91CD8D_.wvu.PrintArea" localSheetId="1" hidden="1">'Калькулятор '!$A$1:$E$19</definedName>
    <definedName name="Z_FA833650_9147_48FF_9246_B3943D91CD8D_.wvu.PrintArea" localSheetId="4" hidden="1">'Канальные блоки'!$A$1:$Q$189</definedName>
    <definedName name="Z_FA833650_9147_48FF_9246_B3943D91CD8D_.wvu.PrintArea" localSheetId="3" hidden="1">'Кассетные блоки'!$A$1:$Q$212</definedName>
    <definedName name="Z_FA833650_9147_48FF_9246_B3943D91CD8D_.wvu.PrintArea" localSheetId="0" hidden="1">Меню!$A$1:$R$46</definedName>
    <definedName name="Z_FA833650_9147_48FF_9246_B3943D91CD8D_.wvu.PrintArea" localSheetId="5" hidden="1">'Универсальные блоки'!$A$1:$Q$52</definedName>
    <definedName name="Z_FA833650_9147_48FF_9246_B3943D91CD8D_.wvu.PrintTitles" localSheetId="8" hidden="1">'Flexible Multi'!$4:$6</definedName>
    <definedName name="Z_FA833650_9147_48FF_9246_B3943D91CD8D_.wvu.PrintTitles" localSheetId="2" hidden="1">'Бытовая серия'!$1:$6</definedName>
    <definedName name="Z_FA833650_9147_48FF_9246_B3943D91CD8D_.wvu.PrintTitles" localSheetId="5" hidden="1">'Универсальные блоки'!$3:$6</definedName>
    <definedName name="Z_FA833650_9147_48FF_9246_B3943D91CD8D_.wvu.Rows" localSheetId="10" hidden="1">' WaterStage'!$49:$49</definedName>
    <definedName name="Z_FA833650_9147_48FF_9246_B3943D91CD8D_.wvu.Rows" localSheetId="7" hidden="1">'Зимний комплект'!$124:$124</definedName>
    <definedName name="_xlnm.Print_Titles" localSheetId="8">'Flexible Multi'!$4:$6</definedName>
    <definedName name="_xlnm.Print_Titles" localSheetId="2">'Бытовая серия'!$1:$6</definedName>
    <definedName name="_xlnm.Print_Titles" localSheetId="5">'Универсальные блоки'!$3:$6</definedName>
    <definedName name="_xlnm.Print_Area" localSheetId="10">' WaterStage'!$A$1:$N$104</definedName>
    <definedName name="_xlnm.Print_Area" localSheetId="6">'Big Multi'!$A$1:$O$72</definedName>
    <definedName name="_xlnm.Print_Area" localSheetId="8">'Flexible Multi'!$A$1:$Q$142</definedName>
    <definedName name="_xlnm.Print_Area" localSheetId="9">VRF!$A$1:$O$418</definedName>
    <definedName name="_xlnm.Print_Area" localSheetId="2">'Бытовая серия'!$A$1:$Q$191</definedName>
    <definedName name="_xlnm.Print_Area" localSheetId="11">'Защита объектов'!$A$1:$D$33</definedName>
    <definedName name="_xlnm.Print_Area" localSheetId="7">'Зимний комплект'!$A$1:$Q$131</definedName>
    <definedName name="_xlnm.Print_Area" localSheetId="1">'Калькулятор '!$A$1:$E$19</definedName>
    <definedName name="_xlnm.Print_Area" localSheetId="4">'Канальные блоки'!$A$1:$Q$189</definedName>
    <definedName name="_xlnm.Print_Area" localSheetId="3">'Кассетные блоки'!$A$1:$Q$212</definedName>
    <definedName name="_xlnm.Print_Area" localSheetId="0">Меню!$A$1:$R$46</definedName>
    <definedName name="_xlnm.Print_Area" localSheetId="5">'Универсальные блоки'!$A$1:$Q$52</definedName>
  </definedNames>
  <calcPr calcId="145621"/>
  <customWorkbookViews>
    <customWorkbookView name="dsgnpop@yandex.com - Личное представление" guid="{FA833650-9147-48FF-9246-B3943D91CD8D}" mergeInterval="0" personalView="1" maximized="1" xWindow="-8" yWindow="-8" windowWidth="1936" windowHeight="1056" tabRatio="916" activeSheetId="12"/>
  </customWorkbookViews>
</workbook>
</file>

<file path=xl/calcChain.xml><?xml version="1.0" encoding="utf-8"?>
<calcChain xmlns="http://schemas.openxmlformats.org/spreadsheetml/2006/main">
  <c r="E18" i="2" l="1"/>
  <c r="D18" i="2"/>
  <c r="C18" i="2"/>
  <c r="I122" i="14"/>
  <c r="I120" i="14"/>
  <c r="I118" i="14"/>
  <c r="I116" i="14"/>
  <c r="I114" i="14"/>
  <c r="I112" i="14"/>
  <c r="H123" i="14"/>
  <c r="H121" i="14"/>
  <c r="G120" i="14" s="1"/>
  <c r="L120" i="14" s="1"/>
  <c r="H119" i="14"/>
  <c r="M119" i="14" s="1"/>
  <c r="N119" i="14" s="1"/>
  <c r="H117" i="14"/>
  <c r="M117" i="14" s="1"/>
  <c r="N117" i="14" s="1"/>
  <c r="H115" i="14"/>
  <c r="H113" i="14"/>
  <c r="M113" i="14" s="1"/>
  <c r="N113" i="14" s="1"/>
  <c r="H109" i="14"/>
  <c r="M109" i="14" s="1"/>
  <c r="N109" i="14" s="1"/>
  <c r="H107" i="14"/>
  <c r="K113" i="14"/>
  <c r="K114" i="14"/>
  <c r="K115" i="14"/>
  <c r="K116" i="14"/>
  <c r="K117" i="14"/>
  <c r="K118" i="14"/>
  <c r="K119" i="14"/>
  <c r="K120" i="14"/>
  <c r="M120" i="14" s="1"/>
  <c r="N120" i="14" s="1"/>
  <c r="K121" i="14"/>
  <c r="K122" i="14"/>
  <c r="M122" i="14" s="1"/>
  <c r="N122" i="14" s="1"/>
  <c r="K123" i="14"/>
  <c r="K124" i="14"/>
  <c r="K112" i="14"/>
  <c r="M112" i="14" s="1"/>
  <c r="N112" i="14" s="1"/>
  <c r="K107" i="14"/>
  <c r="K108" i="14"/>
  <c r="K109" i="14"/>
  <c r="K106" i="14"/>
  <c r="K95" i="14"/>
  <c r="M95" i="14" s="1"/>
  <c r="N95" i="14" s="1"/>
  <c r="K96" i="14"/>
  <c r="M96" i="14" s="1"/>
  <c r="N96" i="14" s="1"/>
  <c r="K97" i="14"/>
  <c r="K98" i="14"/>
  <c r="K99" i="14"/>
  <c r="K100" i="14"/>
  <c r="M100" i="14" s="1"/>
  <c r="N100" i="14" s="1"/>
  <c r="K101" i="14"/>
  <c r="K102" i="14"/>
  <c r="M102" i="14" s="1"/>
  <c r="N102" i="14" s="1"/>
  <c r="K103" i="14"/>
  <c r="K94" i="14"/>
  <c r="M94" i="14" s="1"/>
  <c r="N94" i="14" s="1"/>
  <c r="K92" i="14"/>
  <c r="K82" i="14"/>
  <c r="K83" i="14"/>
  <c r="M83" i="14" s="1"/>
  <c r="N83" i="14" s="1"/>
  <c r="K84" i="14"/>
  <c r="K85" i="14"/>
  <c r="K86" i="14"/>
  <c r="K87" i="14"/>
  <c r="K88" i="14"/>
  <c r="K89" i="14"/>
  <c r="M89" i="14" s="1"/>
  <c r="N89" i="14" s="1"/>
  <c r="K90" i="14"/>
  <c r="K91" i="14"/>
  <c r="M91" i="14" s="1"/>
  <c r="N91" i="14" s="1"/>
  <c r="K81" i="14"/>
  <c r="M81" i="14" s="1"/>
  <c r="N81" i="14" s="1"/>
  <c r="K73" i="14"/>
  <c r="K74" i="14"/>
  <c r="M74" i="14" s="1"/>
  <c r="N74" i="14" s="1"/>
  <c r="K75" i="14"/>
  <c r="K76" i="14"/>
  <c r="K77" i="14"/>
  <c r="K72" i="14"/>
  <c r="I102" i="14"/>
  <c r="I100" i="14"/>
  <c r="I98" i="14"/>
  <c r="I96" i="14"/>
  <c r="I94" i="14"/>
  <c r="H103" i="14"/>
  <c r="G102" i="14" s="1"/>
  <c r="L102" i="14" s="1"/>
  <c r="H101" i="14"/>
  <c r="G100" i="14" s="1"/>
  <c r="H99" i="14"/>
  <c r="H97" i="14"/>
  <c r="H95" i="14"/>
  <c r="I91" i="14"/>
  <c r="I89" i="14"/>
  <c r="I87" i="14"/>
  <c r="I85" i="14"/>
  <c r="I83" i="14"/>
  <c r="I81" i="14"/>
  <c r="H92" i="14"/>
  <c r="G91" i="14" s="1"/>
  <c r="L91" i="14" s="1"/>
  <c r="H90" i="14"/>
  <c r="H86" i="14"/>
  <c r="G85" i="14" s="1"/>
  <c r="L85" i="14" s="1"/>
  <c r="H88" i="14"/>
  <c r="H84" i="14"/>
  <c r="G83" i="14" s="1"/>
  <c r="H82" i="14"/>
  <c r="I76" i="14"/>
  <c r="I74" i="14"/>
  <c r="I72" i="14"/>
  <c r="H76" i="14"/>
  <c r="G76" i="14" s="1"/>
  <c r="L76" i="14" s="1"/>
  <c r="H75" i="14"/>
  <c r="G74" i="14" s="1"/>
  <c r="H73" i="14"/>
  <c r="K49" i="14"/>
  <c r="K50" i="14"/>
  <c r="M50" i="14" s="1"/>
  <c r="N50" i="14" s="1"/>
  <c r="K51" i="14"/>
  <c r="K52" i="14"/>
  <c r="K53" i="14"/>
  <c r="K54" i="14"/>
  <c r="K55" i="14"/>
  <c r="K56" i="14"/>
  <c r="K57" i="14"/>
  <c r="M57" i="14" s="1"/>
  <c r="N57" i="14" s="1"/>
  <c r="K58" i="14"/>
  <c r="K59" i="14"/>
  <c r="M59" i="14" s="1"/>
  <c r="N59" i="14" s="1"/>
  <c r="K60" i="14"/>
  <c r="K61" i="14"/>
  <c r="K62" i="14"/>
  <c r="K63" i="14"/>
  <c r="K64" i="14"/>
  <c r="K65" i="14"/>
  <c r="M65" i="14" s="1"/>
  <c r="N65" i="14" s="1"/>
  <c r="K66" i="14"/>
  <c r="M66" i="14" s="1"/>
  <c r="N66" i="14" s="1"/>
  <c r="K67" i="14"/>
  <c r="M67" i="14" s="1"/>
  <c r="N67" i="14" s="1"/>
  <c r="K68" i="14"/>
  <c r="K48" i="14"/>
  <c r="I66" i="14"/>
  <c r="I63" i="14"/>
  <c r="I60" i="14"/>
  <c r="I57" i="14"/>
  <c r="I54" i="14"/>
  <c r="I51" i="14"/>
  <c r="I48" i="14"/>
  <c r="H67" i="14"/>
  <c r="G66" i="14" s="1"/>
  <c r="H64" i="14"/>
  <c r="H61" i="14"/>
  <c r="G60" i="14" s="1"/>
  <c r="L60" i="14" s="1"/>
  <c r="H58" i="14"/>
  <c r="H55" i="14"/>
  <c r="M55" i="14" s="1"/>
  <c r="N55" i="14" s="1"/>
  <c r="H52" i="14"/>
  <c r="G51" i="14" s="1"/>
  <c r="H49" i="14"/>
  <c r="K29" i="14"/>
  <c r="K30" i="14"/>
  <c r="K31" i="14"/>
  <c r="K28" i="14"/>
  <c r="M28" i="14" s="1"/>
  <c r="N28" i="14" s="1"/>
  <c r="K140" i="3"/>
  <c r="K141" i="3"/>
  <c r="K142" i="3"/>
  <c r="K139" i="3"/>
  <c r="K35" i="14"/>
  <c r="K36" i="14"/>
  <c r="M36" i="14" s="1"/>
  <c r="N36" i="14" s="1"/>
  <c r="K37" i="14"/>
  <c r="K38" i="14"/>
  <c r="K39" i="14"/>
  <c r="K40" i="14"/>
  <c r="M40" i="14" s="1"/>
  <c r="N40" i="14" s="1"/>
  <c r="K41" i="14"/>
  <c r="M41" i="14" s="1"/>
  <c r="N41" i="14" s="1"/>
  <c r="K42" i="14"/>
  <c r="K43" i="14"/>
  <c r="M43" i="14" s="1"/>
  <c r="N43" i="14" s="1"/>
  <c r="K44" i="14"/>
  <c r="M44" i="14" s="1"/>
  <c r="N44" i="14" s="1"/>
  <c r="K45" i="14"/>
  <c r="K34" i="14"/>
  <c r="M34" i="14" s="1"/>
  <c r="N34" i="14" s="1"/>
  <c r="M39" i="14"/>
  <c r="N39" i="14" s="1"/>
  <c r="I43" i="14"/>
  <c r="I40" i="14"/>
  <c r="I37" i="14"/>
  <c r="I34" i="14"/>
  <c r="H44" i="14"/>
  <c r="H41" i="14"/>
  <c r="G40" i="14" s="1"/>
  <c r="H38" i="14"/>
  <c r="H35" i="14"/>
  <c r="H31" i="14"/>
  <c r="M31" i="14" s="1"/>
  <c r="N31" i="14" s="1"/>
  <c r="H29" i="14"/>
  <c r="H24" i="14"/>
  <c r="H22" i="14"/>
  <c r="H20" i="14"/>
  <c r="G19" i="14" s="1"/>
  <c r="L19" i="14" s="1"/>
  <c r="I30" i="14"/>
  <c r="I28" i="14"/>
  <c r="I23" i="14"/>
  <c r="I21" i="14"/>
  <c r="I19" i="14"/>
  <c r="I14" i="14"/>
  <c r="I12" i="14"/>
  <c r="I10" i="14"/>
  <c r="H15" i="14"/>
  <c r="M15" i="14" s="1"/>
  <c r="N15" i="14" s="1"/>
  <c r="H13" i="14"/>
  <c r="G12" i="14" s="1"/>
  <c r="L12" i="14" s="1"/>
  <c r="H11" i="14"/>
  <c r="M123" i="14"/>
  <c r="N123" i="14" s="1"/>
  <c r="G122" i="14"/>
  <c r="M118" i="14"/>
  <c r="N118" i="14" s="1"/>
  <c r="M116" i="14"/>
  <c r="N116" i="14" s="1"/>
  <c r="G116" i="14"/>
  <c r="L116" i="14" s="1"/>
  <c r="M115" i="14"/>
  <c r="N115" i="14" s="1"/>
  <c r="M114" i="14"/>
  <c r="N114" i="14" s="1"/>
  <c r="G114" i="14"/>
  <c r="M108" i="14"/>
  <c r="N108" i="14" s="1"/>
  <c r="M107" i="14"/>
  <c r="N107" i="14" s="1"/>
  <c r="M106" i="14"/>
  <c r="N106" i="14" s="1"/>
  <c r="G106" i="14"/>
  <c r="L106" i="14" s="1"/>
  <c r="M103" i="14"/>
  <c r="N103" i="14" s="1"/>
  <c r="M99" i="14"/>
  <c r="N99" i="14" s="1"/>
  <c r="M98" i="14"/>
  <c r="N98" i="14" s="1"/>
  <c r="G98" i="14"/>
  <c r="L98" i="14" s="1"/>
  <c r="M97" i="14"/>
  <c r="N97" i="14" s="1"/>
  <c r="G96" i="14"/>
  <c r="L96" i="14" s="1"/>
  <c r="G94" i="14"/>
  <c r="L94" i="14" s="1"/>
  <c r="G89" i="14"/>
  <c r="M88" i="14"/>
  <c r="N88" i="14" s="1"/>
  <c r="M87" i="14"/>
  <c r="N87" i="14" s="1"/>
  <c r="G87" i="14"/>
  <c r="L87" i="14" s="1"/>
  <c r="M85" i="14"/>
  <c r="N85" i="14" s="1"/>
  <c r="G81" i="14"/>
  <c r="M77" i="14"/>
  <c r="N77" i="14" s="1"/>
  <c r="M73" i="14"/>
  <c r="N73" i="14" s="1"/>
  <c r="M72" i="14"/>
  <c r="N72" i="14" s="1"/>
  <c r="G72" i="14"/>
  <c r="L72" i="14" s="1"/>
  <c r="M68" i="14"/>
  <c r="N68" i="14" s="1"/>
  <c r="M63" i="14"/>
  <c r="N63" i="14" s="1"/>
  <c r="G63" i="14"/>
  <c r="L63" i="14" s="1"/>
  <c r="M62" i="14"/>
  <c r="N62" i="14" s="1"/>
  <c r="M61" i="14"/>
  <c r="N61" i="14" s="1"/>
  <c r="M60" i="14"/>
  <c r="N60" i="14" s="1"/>
  <c r="G57" i="14"/>
  <c r="M56" i="14"/>
  <c r="N56" i="14" s="1"/>
  <c r="M54" i="14"/>
  <c r="N54" i="14" s="1"/>
  <c r="M53" i="14"/>
  <c r="N53" i="14" s="1"/>
  <c r="M51" i="14"/>
  <c r="N51" i="14" s="1"/>
  <c r="M49" i="14"/>
  <c r="N49" i="14" s="1"/>
  <c r="M48" i="14"/>
  <c r="N48" i="14" s="1"/>
  <c r="G48" i="14"/>
  <c r="L48" i="14" s="1"/>
  <c r="M45" i="14"/>
  <c r="N45" i="14" s="1"/>
  <c r="G43" i="14"/>
  <c r="M42" i="14"/>
  <c r="N42" i="14" s="1"/>
  <c r="M37" i="14"/>
  <c r="N37" i="14" s="1"/>
  <c r="G37" i="14"/>
  <c r="L37" i="14" s="1"/>
  <c r="M30" i="14"/>
  <c r="N30" i="14" s="1"/>
  <c r="G30" i="14"/>
  <c r="M24" i="14"/>
  <c r="N24" i="14" s="1"/>
  <c r="K24" i="14"/>
  <c r="K23" i="14"/>
  <c r="M23" i="14" s="1"/>
  <c r="N23" i="14" s="1"/>
  <c r="G23" i="14"/>
  <c r="L23" i="14" s="1"/>
  <c r="M22" i="14"/>
  <c r="N22" i="14" s="1"/>
  <c r="K22" i="14"/>
  <c r="K21" i="14"/>
  <c r="M21" i="14" s="1"/>
  <c r="N21" i="14" s="1"/>
  <c r="G21" i="14"/>
  <c r="L21" i="14" s="1"/>
  <c r="M20" i="14"/>
  <c r="N20" i="14" s="1"/>
  <c r="K20" i="14"/>
  <c r="K19" i="14"/>
  <c r="M19" i="14" s="1"/>
  <c r="N19" i="14" s="1"/>
  <c r="K15" i="14"/>
  <c r="K14" i="14"/>
  <c r="M14" i="14" s="1"/>
  <c r="N14" i="14" s="1"/>
  <c r="K13" i="14"/>
  <c r="K12" i="14"/>
  <c r="M12" i="14" s="1"/>
  <c r="N12" i="14" s="1"/>
  <c r="M11" i="14"/>
  <c r="N11" i="14" s="1"/>
  <c r="K11" i="14"/>
  <c r="K10" i="14"/>
  <c r="M10" i="14" s="1"/>
  <c r="N10" i="14" s="1"/>
  <c r="G10" i="14"/>
  <c r="L10" i="14" s="1"/>
  <c r="Q3" i="14"/>
  <c r="N3" i="14"/>
  <c r="M121" i="14" l="1"/>
  <c r="N121" i="14" s="1"/>
  <c r="G118" i="14"/>
  <c r="L118" i="14" s="1"/>
  <c r="G112" i="14"/>
  <c r="G108" i="14"/>
  <c r="L108" i="14" s="1"/>
  <c r="L122" i="14"/>
  <c r="L114" i="14"/>
  <c r="L112" i="14"/>
  <c r="L100" i="14"/>
  <c r="L89" i="14"/>
  <c r="L83" i="14"/>
  <c r="L81" i="14"/>
  <c r="L74" i="14"/>
  <c r="M101" i="14"/>
  <c r="N101" i="14" s="1"/>
  <c r="M92" i="14"/>
  <c r="N92" i="14" s="1"/>
  <c r="M90" i="14"/>
  <c r="N90" i="14" s="1"/>
  <c r="M86" i="14"/>
  <c r="N86" i="14" s="1"/>
  <c r="M84" i="14"/>
  <c r="N84" i="14" s="1"/>
  <c r="M82" i="14"/>
  <c r="N82" i="14" s="1"/>
  <c r="M76" i="14"/>
  <c r="N76" i="14" s="1"/>
  <c r="M75" i="14"/>
  <c r="N75" i="14" s="1"/>
  <c r="L66" i="14"/>
  <c r="M64" i="14"/>
  <c r="N64" i="14" s="1"/>
  <c r="M58" i="14"/>
  <c r="N58" i="14" s="1"/>
  <c r="G54" i="14"/>
  <c r="L54" i="14" s="1"/>
  <c r="M52" i="14"/>
  <c r="N52" i="14" s="1"/>
  <c r="L57" i="14"/>
  <c r="L51" i="14"/>
  <c r="M29" i="14"/>
  <c r="N29" i="14" s="1"/>
  <c r="L30" i="14"/>
  <c r="L40" i="14"/>
  <c r="L43" i="14"/>
  <c r="M35" i="14"/>
  <c r="N35" i="14" s="1"/>
  <c r="M38" i="14"/>
  <c r="N38" i="14" s="1"/>
  <c r="G34" i="14"/>
  <c r="L34" i="14" s="1"/>
  <c r="G28" i="14"/>
  <c r="L28" i="14" s="1"/>
  <c r="G14" i="14"/>
  <c r="L14" i="14" s="1"/>
  <c r="M13" i="14"/>
  <c r="N13" i="14" s="1"/>
  <c r="N124" i="14" l="1"/>
  <c r="K3" i="14" s="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E11" i="11"/>
  <c r="E9" i="11"/>
  <c r="A45" i="11"/>
  <c r="A47" i="11"/>
  <c r="A35" i="11"/>
  <c r="A37" i="11"/>
  <c r="A39" i="11"/>
  <c r="A41" i="11"/>
  <c r="A43" i="11"/>
  <c r="A29" i="11"/>
  <c r="A31" i="11"/>
  <c r="A33" i="11"/>
  <c r="A17" i="11"/>
  <c r="A19" i="11"/>
  <c r="A21" i="11"/>
  <c r="A23" i="11"/>
  <c r="A25" i="11"/>
  <c r="A27" i="11"/>
  <c r="A15" i="11"/>
  <c r="N3" i="11" l="1"/>
  <c r="K3" i="11"/>
  <c r="K341" i="10" l="1"/>
  <c r="K337" i="10"/>
  <c r="K334" i="10"/>
  <c r="K333" i="10"/>
  <c r="K330" i="10"/>
  <c r="K326" i="10"/>
  <c r="K323" i="10"/>
  <c r="K319" i="10"/>
  <c r="K318" i="10"/>
  <c r="K316" i="10"/>
  <c r="K314" i="10"/>
  <c r="K352" i="10"/>
  <c r="K364" i="10"/>
  <c r="K362" i="10"/>
  <c r="K375" i="10"/>
  <c r="K374" i="10"/>
  <c r="K370" i="10"/>
  <c r="K368" i="10"/>
  <c r="K367" i="10"/>
  <c r="K383" i="10"/>
  <c r="K382" i="10"/>
  <c r="K379" i="10"/>
  <c r="K378" i="10"/>
  <c r="K389" i="10"/>
  <c r="K388" i="10"/>
  <c r="K408" i="10"/>
  <c r="K407" i="10"/>
  <c r="K404" i="10"/>
  <c r="K403" i="10"/>
  <c r="K400" i="10"/>
  <c r="K399" i="10"/>
  <c r="K396" i="10"/>
  <c r="K406" i="10"/>
  <c r="K405" i="10"/>
  <c r="K402" i="10"/>
  <c r="K401" i="10"/>
  <c r="K398" i="10"/>
  <c r="K397" i="10"/>
  <c r="K394" i="10"/>
  <c r="K393" i="10"/>
  <c r="K392" i="10"/>
  <c r="K391" i="10"/>
  <c r="K387" i="10"/>
  <c r="K386" i="10"/>
  <c r="K384" i="10"/>
  <c r="K381" i="10"/>
  <c r="K380" i="10"/>
  <c r="K377" i="10"/>
  <c r="K373" i="10"/>
  <c r="K372" i="10"/>
  <c r="K371" i="10"/>
  <c r="K369" i="10"/>
  <c r="K365" i="10"/>
  <c r="K363" i="10"/>
  <c r="K361" i="10"/>
  <c r="K360" i="10"/>
  <c r="K359" i="10"/>
  <c r="K358" i="10"/>
  <c r="K357" i="10"/>
  <c r="K356" i="10"/>
  <c r="K355" i="10"/>
  <c r="K354" i="10"/>
  <c r="K353" i="10"/>
  <c r="K351" i="10"/>
  <c r="K350" i="10"/>
  <c r="K349" i="10"/>
  <c r="K348" i="10"/>
  <c r="K347" i="10"/>
  <c r="K346" i="10"/>
  <c r="K345" i="10"/>
  <c r="K344" i="10"/>
  <c r="K343" i="10"/>
  <c r="K342" i="10"/>
  <c r="K340" i="10"/>
  <c r="K339" i="10"/>
  <c r="K338" i="10"/>
  <c r="K336" i="10"/>
  <c r="K335" i="10"/>
  <c r="K332" i="10"/>
  <c r="K331" i="10"/>
  <c r="K329" i="10"/>
  <c r="K328" i="10"/>
  <c r="K327" i="10"/>
  <c r="K325" i="10"/>
  <c r="K324" i="10"/>
  <c r="K322" i="10"/>
  <c r="K321" i="10"/>
  <c r="K320" i="10"/>
  <c r="K317" i="10"/>
  <c r="K315" i="10"/>
  <c r="K313" i="10"/>
  <c r="K312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6" i="10"/>
  <c r="K235" i="10"/>
  <c r="J235" i="10"/>
  <c r="K234" i="10"/>
  <c r="K233" i="10"/>
  <c r="J233" i="10"/>
  <c r="K232" i="10"/>
  <c r="K231" i="10"/>
  <c r="J231" i="10"/>
  <c r="K230" i="10"/>
  <c r="K229" i="10"/>
  <c r="J229" i="10"/>
  <c r="K228" i="10"/>
  <c r="K227" i="10"/>
  <c r="J227" i="10"/>
  <c r="K226" i="10"/>
  <c r="K225" i="10"/>
  <c r="J225" i="10"/>
  <c r="K224" i="10"/>
  <c r="K223" i="10"/>
  <c r="J223" i="10"/>
  <c r="K222" i="10"/>
  <c r="K221" i="10"/>
  <c r="J221" i="10"/>
  <c r="K220" i="10"/>
  <c r="K219" i="10"/>
  <c r="J219" i="10"/>
  <c r="K216" i="10"/>
  <c r="K215" i="10"/>
  <c r="J215" i="10"/>
  <c r="K214" i="10"/>
  <c r="K213" i="10"/>
  <c r="J213" i="10"/>
  <c r="K212" i="10"/>
  <c r="K211" i="10"/>
  <c r="J211" i="10"/>
  <c r="K210" i="10"/>
  <c r="K209" i="10"/>
  <c r="J209" i="10"/>
  <c r="K208" i="10"/>
  <c r="K207" i="10"/>
  <c r="J207" i="10"/>
  <c r="K206" i="10"/>
  <c r="K205" i="10"/>
  <c r="J205" i="10"/>
  <c r="K204" i="10"/>
  <c r="K203" i="10"/>
  <c r="J203" i="10"/>
  <c r="K202" i="10"/>
  <c r="K201" i="10"/>
  <c r="J201" i="10"/>
  <c r="K200" i="10"/>
  <c r="K199" i="10"/>
  <c r="J199" i="10"/>
  <c r="K198" i="10"/>
  <c r="K197" i="10"/>
  <c r="J197" i="10"/>
  <c r="K196" i="10"/>
  <c r="K195" i="10"/>
  <c r="J195" i="10"/>
  <c r="K194" i="10"/>
  <c r="K193" i="10"/>
  <c r="J193" i="10"/>
  <c r="K192" i="10"/>
  <c r="K191" i="10"/>
  <c r="J191" i="10"/>
  <c r="K190" i="10"/>
  <c r="K189" i="10"/>
  <c r="J189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2" i="10"/>
  <c r="K121" i="10"/>
  <c r="K120" i="10"/>
  <c r="K119" i="10"/>
  <c r="K118" i="10"/>
  <c r="K117" i="10"/>
  <c r="K116" i="10"/>
  <c r="K115" i="10"/>
  <c r="K114" i="10"/>
  <c r="K113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0" i="10"/>
  <c r="K69" i="10"/>
  <c r="K68" i="10"/>
  <c r="K67" i="10"/>
  <c r="K66" i="10"/>
  <c r="K65" i="10"/>
  <c r="K62" i="10"/>
  <c r="K61" i="10"/>
  <c r="K60" i="10"/>
  <c r="K59" i="10"/>
  <c r="K58" i="10"/>
  <c r="K55" i="10"/>
  <c r="K54" i="10"/>
  <c r="K53" i="10"/>
  <c r="K52" i="10"/>
  <c r="K51" i="10"/>
  <c r="K48" i="10"/>
  <c r="K47" i="10"/>
  <c r="K46" i="10"/>
  <c r="K45" i="10"/>
  <c r="K44" i="10"/>
  <c r="K43" i="10"/>
  <c r="K40" i="10"/>
  <c r="K39" i="10"/>
  <c r="K38" i="10"/>
  <c r="K37" i="10"/>
  <c r="K36" i="10"/>
  <c r="K35" i="10"/>
  <c r="K32" i="10"/>
  <c r="K31" i="10"/>
  <c r="K30" i="10"/>
  <c r="K29" i="10"/>
  <c r="K28" i="10"/>
  <c r="K27" i="10"/>
  <c r="K24" i="10"/>
  <c r="K23" i="10"/>
  <c r="K22" i="10"/>
  <c r="K21" i="10"/>
  <c r="K20" i="10"/>
  <c r="K19" i="10"/>
  <c r="K16" i="10"/>
  <c r="K15" i="10"/>
  <c r="K14" i="10"/>
  <c r="K11" i="10"/>
  <c r="K10" i="10"/>
  <c r="K9" i="10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2" i="9"/>
  <c r="L101" i="9"/>
  <c r="L100" i="9"/>
  <c r="L99" i="9"/>
  <c r="M96" i="9"/>
  <c r="M95" i="9"/>
  <c r="M94" i="9"/>
  <c r="M93" i="9"/>
  <c r="M92" i="9"/>
  <c r="M91" i="9"/>
  <c r="M90" i="9"/>
  <c r="M89" i="9"/>
  <c r="L86" i="9"/>
  <c r="L85" i="9"/>
  <c r="L84" i="9"/>
  <c r="L83" i="9"/>
  <c r="L80" i="9"/>
  <c r="L79" i="9"/>
  <c r="L78" i="9"/>
  <c r="L77" i="9"/>
  <c r="L76" i="9"/>
  <c r="L75" i="9"/>
  <c r="L74" i="9"/>
  <c r="L73" i="9"/>
  <c r="L70" i="9"/>
  <c r="L69" i="9"/>
  <c r="L68" i="9"/>
  <c r="L67" i="9"/>
  <c r="L64" i="9"/>
  <c r="L63" i="9"/>
  <c r="L60" i="9"/>
  <c r="L59" i="9"/>
  <c r="L58" i="9"/>
  <c r="L57" i="9"/>
  <c r="L54" i="9"/>
  <c r="L53" i="9"/>
  <c r="L52" i="9"/>
  <c r="L51" i="9"/>
  <c r="L50" i="9"/>
  <c r="M47" i="9"/>
  <c r="M46" i="9"/>
  <c r="M45" i="9"/>
  <c r="M44" i="9"/>
  <c r="M43" i="9"/>
  <c r="M42" i="9"/>
  <c r="M41" i="9"/>
  <c r="M40" i="9"/>
  <c r="M39" i="9"/>
  <c r="M38" i="9"/>
  <c r="L35" i="9"/>
  <c r="L34" i="9"/>
  <c r="L33" i="9"/>
  <c r="L30" i="9"/>
  <c r="L29" i="9"/>
  <c r="L28" i="9"/>
  <c r="L27" i="9"/>
  <c r="L24" i="9"/>
  <c r="L23" i="9"/>
  <c r="L22" i="9"/>
  <c r="L21" i="9"/>
  <c r="L20" i="9"/>
  <c r="L19" i="9"/>
  <c r="L16" i="9"/>
  <c r="L15" i="9"/>
  <c r="L14" i="9"/>
  <c r="L13" i="9"/>
  <c r="L12" i="9"/>
  <c r="L11" i="9"/>
  <c r="L10" i="9"/>
  <c r="L9" i="9"/>
  <c r="J62" i="8"/>
  <c r="J61" i="8"/>
  <c r="J60" i="8"/>
  <c r="J59" i="8"/>
  <c r="J58" i="8"/>
  <c r="J57" i="8"/>
  <c r="J56" i="8"/>
  <c r="J55" i="8"/>
  <c r="J54" i="8"/>
  <c r="J53" i="8"/>
  <c r="J52" i="8"/>
  <c r="J51" i="8"/>
  <c r="K47" i="8"/>
  <c r="K46" i="8"/>
  <c r="K45" i="8"/>
  <c r="K44" i="8"/>
  <c r="K43" i="8"/>
  <c r="K42" i="8"/>
  <c r="K39" i="8"/>
  <c r="K38" i="8"/>
  <c r="K37" i="8"/>
  <c r="K36" i="8"/>
  <c r="K35" i="8"/>
  <c r="K34" i="8"/>
  <c r="K31" i="8"/>
  <c r="K30" i="8"/>
  <c r="J30" i="8"/>
  <c r="K29" i="8"/>
  <c r="K28" i="8"/>
  <c r="J28" i="8"/>
  <c r="K27" i="8"/>
  <c r="K26" i="8"/>
  <c r="J26" i="8"/>
  <c r="K25" i="8"/>
  <c r="K24" i="8"/>
  <c r="J24" i="8"/>
  <c r="K23" i="8"/>
  <c r="K22" i="8"/>
  <c r="J22" i="8"/>
  <c r="K21" i="8"/>
  <c r="K20" i="8"/>
  <c r="J20" i="8"/>
  <c r="K17" i="8"/>
  <c r="K16" i="8"/>
  <c r="K15" i="8"/>
  <c r="K14" i="8"/>
  <c r="K13" i="8"/>
  <c r="K12" i="8"/>
  <c r="K11" i="8"/>
  <c r="K10" i="8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M26" i="6"/>
  <c r="M25" i="6"/>
  <c r="L25" i="6"/>
  <c r="M24" i="6"/>
  <c r="M23" i="6"/>
  <c r="L23" i="6"/>
  <c r="M22" i="6"/>
  <c r="M21" i="6"/>
  <c r="L21" i="6"/>
  <c r="M20" i="6"/>
  <c r="M19" i="6"/>
  <c r="L19" i="6"/>
  <c r="M18" i="6"/>
  <c r="M17" i="6"/>
  <c r="L17" i="6"/>
  <c r="M16" i="6"/>
  <c r="M15" i="6"/>
  <c r="L15" i="6"/>
  <c r="M12" i="6"/>
  <c r="M11" i="6"/>
  <c r="L11" i="6"/>
  <c r="M10" i="6"/>
  <c r="M9" i="6"/>
  <c r="L9" i="6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M156" i="5"/>
  <c r="M155" i="5"/>
  <c r="L155" i="5"/>
  <c r="M154" i="5"/>
  <c r="M153" i="5"/>
  <c r="L153" i="5"/>
  <c r="M152" i="5"/>
  <c r="M151" i="5"/>
  <c r="L151" i="5"/>
  <c r="M150" i="5"/>
  <c r="M149" i="5"/>
  <c r="L149" i="5"/>
  <c r="M147" i="5"/>
  <c r="M146" i="5"/>
  <c r="L146" i="5"/>
  <c r="M145" i="5"/>
  <c r="M144" i="5"/>
  <c r="L144" i="5"/>
  <c r="M143" i="5"/>
  <c r="M142" i="5"/>
  <c r="L142" i="5"/>
  <c r="M141" i="5"/>
  <c r="M140" i="5"/>
  <c r="L140" i="5"/>
  <c r="M139" i="5"/>
  <c r="M138" i="5"/>
  <c r="L138" i="5"/>
  <c r="M137" i="5"/>
  <c r="M136" i="5"/>
  <c r="L136" i="5"/>
  <c r="M135" i="5"/>
  <c r="M134" i="5"/>
  <c r="L134" i="5"/>
  <c r="M132" i="5"/>
  <c r="M131" i="5"/>
  <c r="L131" i="5"/>
  <c r="M130" i="5"/>
  <c r="M129" i="5"/>
  <c r="L129" i="5"/>
  <c r="M128" i="5"/>
  <c r="M127" i="5"/>
  <c r="L127" i="5"/>
  <c r="M126" i="5"/>
  <c r="M125" i="5"/>
  <c r="L125" i="5"/>
  <c r="M124" i="5"/>
  <c r="M123" i="5"/>
  <c r="L123" i="5"/>
  <c r="M122" i="5"/>
  <c r="M121" i="5"/>
  <c r="L121" i="5"/>
  <c r="M120" i="5"/>
  <c r="M119" i="5"/>
  <c r="L119" i="5"/>
  <c r="M115" i="5"/>
  <c r="M114" i="5"/>
  <c r="L114" i="5"/>
  <c r="M113" i="5"/>
  <c r="M112" i="5"/>
  <c r="L112" i="5"/>
  <c r="M111" i="5"/>
  <c r="M110" i="5"/>
  <c r="L110" i="5"/>
  <c r="M109" i="5"/>
  <c r="M108" i="5"/>
  <c r="L108" i="5"/>
  <c r="M107" i="5"/>
  <c r="M106" i="5"/>
  <c r="L106" i="5"/>
  <c r="M105" i="5"/>
  <c r="M104" i="5"/>
  <c r="L104" i="5"/>
  <c r="M103" i="5"/>
  <c r="M102" i="5"/>
  <c r="L102" i="5"/>
  <c r="M98" i="5"/>
  <c r="M97" i="5"/>
  <c r="L97" i="5"/>
  <c r="M96" i="5"/>
  <c r="M95" i="5"/>
  <c r="L95" i="5"/>
  <c r="M94" i="5"/>
  <c r="M93" i="5"/>
  <c r="L93" i="5"/>
  <c r="M92" i="5"/>
  <c r="M91" i="5"/>
  <c r="L91" i="5"/>
  <c r="M90" i="5"/>
  <c r="M89" i="5"/>
  <c r="L89" i="5"/>
  <c r="M88" i="5"/>
  <c r="M87" i="5"/>
  <c r="L87" i="5"/>
  <c r="M83" i="5"/>
  <c r="M82" i="5"/>
  <c r="L82" i="5"/>
  <c r="M81" i="5"/>
  <c r="M80" i="5"/>
  <c r="L80" i="5"/>
  <c r="M79" i="5"/>
  <c r="M78" i="5"/>
  <c r="L78" i="5"/>
  <c r="M77" i="5"/>
  <c r="M76" i="5"/>
  <c r="L76" i="5"/>
  <c r="M75" i="5"/>
  <c r="M74" i="5"/>
  <c r="L74" i="5"/>
  <c r="M73" i="5"/>
  <c r="M72" i="5"/>
  <c r="L72" i="5"/>
  <c r="M71" i="5"/>
  <c r="M70" i="5"/>
  <c r="L70" i="5"/>
  <c r="M69" i="5"/>
  <c r="M68" i="5"/>
  <c r="L68" i="5"/>
  <c r="M67" i="5"/>
  <c r="M66" i="5"/>
  <c r="L66" i="5"/>
  <c r="M65" i="5"/>
  <c r="M64" i="5"/>
  <c r="L64" i="5"/>
  <c r="M63" i="5"/>
  <c r="M62" i="5"/>
  <c r="L62" i="5"/>
  <c r="M61" i="5"/>
  <c r="M60" i="5"/>
  <c r="L60" i="5"/>
  <c r="M56" i="5"/>
  <c r="M55" i="5"/>
  <c r="L55" i="5"/>
  <c r="M54" i="5"/>
  <c r="M53" i="5"/>
  <c r="L53" i="5"/>
  <c r="M52" i="5"/>
  <c r="M51" i="5"/>
  <c r="L51" i="5"/>
  <c r="M50" i="5"/>
  <c r="M49" i="5"/>
  <c r="L49" i="5"/>
  <c r="M48" i="5"/>
  <c r="M47" i="5"/>
  <c r="L47" i="5"/>
  <c r="M46" i="5"/>
  <c r="M45" i="5"/>
  <c r="L45" i="5"/>
  <c r="M44" i="5"/>
  <c r="M43" i="5"/>
  <c r="L43" i="5"/>
  <c r="M42" i="5"/>
  <c r="M41" i="5"/>
  <c r="L41" i="5"/>
  <c r="M37" i="5"/>
  <c r="M36" i="5"/>
  <c r="L36" i="5"/>
  <c r="M35" i="5"/>
  <c r="M34" i="5"/>
  <c r="L34" i="5"/>
  <c r="M33" i="5"/>
  <c r="M32" i="5"/>
  <c r="L32" i="5"/>
  <c r="M31" i="5"/>
  <c r="M30" i="5"/>
  <c r="L30" i="5"/>
  <c r="M26" i="5"/>
  <c r="M25" i="5"/>
  <c r="L25" i="5"/>
  <c r="M24" i="5"/>
  <c r="M23" i="5"/>
  <c r="L23" i="5"/>
  <c r="M22" i="5"/>
  <c r="M21" i="5"/>
  <c r="L21" i="5"/>
  <c r="M20" i="5"/>
  <c r="M19" i="5"/>
  <c r="L19" i="5"/>
  <c r="M15" i="5"/>
  <c r="M14" i="5"/>
  <c r="L14" i="5"/>
  <c r="M13" i="5"/>
  <c r="M12" i="5"/>
  <c r="L12" i="5"/>
  <c r="M11" i="5"/>
  <c r="M10" i="5"/>
  <c r="L10" i="5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M174" i="4"/>
  <c r="M173" i="4"/>
  <c r="M172" i="4"/>
  <c r="L172" i="4"/>
  <c r="M171" i="4"/>
  <c r="M170" i="4"/>
  <c r="M169" i="4"/>
  <c r="L169" i="4"/>
  <c r="M168" i="4"/>
  <c r="M167" i="4"/>
  <c r="M166" i="4"/>
  <c r="L166" i="4"/>
  <c r="M165" i="4"/>
  <c r="M164" i="4"/>
  <c r="M163" i="4"/>
  <c r="L163" i="4"/>
  <c r="M162" i="4"/>
  <c r="M161" i="4"/>
  <c r="M160" i="4"/>
  <c r="L160" i="4"/>
  <c r="M159" i="4"/>
  <c r="M158" i="4"/>
  <c r="M157" i="4"/>
  <c r="L157" i="4"/>
  <c r="M156" i="4"/>
  <c r="M155" i="4"/>
  <c r="M154" i="4"/>
  <c r="L154" i="4"/>
  <c r="M151" i="4"/>
  <c r="M150" i="4"/>
  <c r="M149" i="4"/>
  <c r="L149" i="4"/>
  <c r="M148" i="4"/>
  <c r="M147" i="4"/>
  <c r="M146" i="4"/>
  <c r="L146" i="4"/>
  <c r="M145" i="4"/>
  <c r="M144" i="4"/>
  <c r="M143" i="4"/>
  <c r="L143" i="4"/>
  <c r="M142" i="4"/>
  <c r="M141" i="4"/>
  <c r="M140" i="4"/>
  <c r="L140" i="4"/>
  <c r="M139" i="4"/>
  <c r="M138" i="4"/>
  <c r="M137" i="4"/>
  <c r="L137" i="4"/>
  <c r="M136" i="4"/>
  <c r="M135" i="4"/>
  <c r="M134" i="4"/>
  <c r="L134" i="4"/>
  <c r="M131" i="4"/>
  <c r="M130" i="4"/>
  <c r="M129" i="4"/>
  <c r="L129" i="4"/>
  <c r="M128" i="4"/>
  <c r="M127" i="4"/>
  <c r="M126" i="4"/>
  <c r="L126" i="4"/>
  <c r="M125" i="4"/>
  <c r="M124" i="4"/>
  <c r="M123" i="4"/>
  <c r="L123" i="4"/>
  <c r="M122" i="4"/>
  <c r="M121" i="4"/>
  <c r="M120" i="4"/>
  <c r="L120" i="4"/>
  <c r="M119" i="4"/>
  <c r="M118" i="4"/>
  <c r="M117" i="4"/>
  <c r="L117" i="4"/>
  <c r="M116" i="4"/>
  <c r="M115" i="4"/>
  <c r="M114" i="4"/>
  <c r="L114" i="4"/>
  <c r="M111" i="4"/>
  <c r="M110" i="4"/>
  <c r="M109" i="4"/>
  <c r="L109" i="4"/>
  <c r="M108" i="4"/>
  <c r="M107" i="4"/>
  <c r="M106" i="4"/>
  <c r="L106" i="4"/>
  <c r="M105" i="4"/>
  <c r="M104" i="4"/>
  <c r="M103" i="4"/>
  <c r="L103" i="4"/>
  <c r="M102" i="4"/>
  <c r="M101" i="4"/>
  <c r="M100" i="4"/>
  <c r="L100" i="4"/>
  <c r="M99" i="4"/>
  <c r="M98" i="4"/>
  <c r="M97" i="4"/>
  <c r="L97" i="4"/>
  <c r="M96" i="4"/>
  <c r="M95" i="4"/>
  <c r="M94" i="4"/>
  <c r="L94" i="4"/>
  <c r="M91" i="4"/>
  <c r="M90" i="4"/>
  <c r="M89" i="4"/>
  <c r="L89" i="4"/>
  <c r="M88" i="4"/>
  <c r="M87" i="4"/>
  <c r="M86" i="4"/>
  <c r="L86" i="4"/>
  <c r="M85" i="4"/>
  <c r="M84" i="4"/>
  <c r="M83" i="4"/>
  <c r="L83" i="4"/>
  <c r="M82" i="4"/>
  <c r="M81" i="4"/>
  <c r="M80" i="4"/>
  <c r="L80" i="4"/>
  <c r="M79" i="4"/>
  <c r="M78" i="4"/>
  <c r="M77" i="4"/>
  <c r="L77" i="4"/>
  <c r="M76" i="4"/>
  <c r="M75" i="4"/>
  <c r="M74" i="4"/>
  <c r="L74" i="4"/>
  <c r="M73" i="4"/>
  <c r="M72" i="4"/>
  <c r="M71" i="4"/>
  <c r="L71" i="4"/>
  <c r="M70" i="4"/>
  <c r="M69" i="4"/>
  <c r="M68" i="4"/>
  <c r="L68" i="4"/>
  <c r="M67" i="4"/>
  <c r="M66" i="4"/>
  <c r="M65" i="4"/>
  <c r="L65" i="4"/>
  <c r="M64" i="4"/>
  <c r="M63" i="4"/>
  <c r="M62" i="4"/>
  <c r="L62" i="4"/>
  <c r="M59" i="4"/>
  <c r="M58" i="4"/>
  <c r="M57" i="4"/>
  <c r="L57" i="4"/>
  <c r="M56" i="4"/>
  <c r="M55" i="4"/>
  <c r="M54" i="4"/>
  <c r="L54" i="4"/>
  <c r="M53" i="4"/>
  <c r="M52" i="4"/>
  <c r="M51" i="4"/>
  <c r="L51" i="4"/>
  <c r="M50" i="4"/>
  <c r="M49" i="4"/>
  <c r="M48" i="4"/>
  <c r="L48" i="4"/>
  <c r="M47" i="4"/>
  <c r="M46" i="4"/>
  <c r="M45" i="4"/>
  <c r="L45" i="4"/>
  <c r="M44" i="4"/>
  <c r="M43" i="4"/>
  <c r="M42" i="4"/>
  <c r="L42" i="4"/>
  <c r="M41" i="4"/>
  <c r="M40" i="4"/>
  <c r="M39" i="4"/>
  <c r="L39" i="4"/>
  <c r="M38" i="4"/>
  <c r="M37" i="4"/>
  <c r="M36" i="4"/>
  <c r="L36" i="4"/>
  <c r="M35" i="4"/>
  <c r="M34" i="4"/>
  <c r="M33" i="4"/>
  <c r="L33" i="4"/>
  <c r="M32" i="4"/>
  <c r="M31" i="4"/>
  <c r="M30" i="4"/>
  <c r="L30" i="4"/>
  <c r="M27" i="4"/>
  <c r="M26" i="4"/>
  <c r="M25" i="4"/>
  <c r="L25" i="4"/>
  <c r="M24" i="4"/>
  <c r="M23" i="4"/>
  <c r="M22" i="4"/>
  <c r="L22" i="4"/>
  <c r="M21" i="4"/>
  <c r="M20" i="4"/>
  <c r="M19" i="4"/>
  <c r="L19" i="4"/>
  <c r="M18" i="4"/>
  <c r="M17" i="4"/>
  <c r="M16" i="4"/>
  <c r="L16" i="4"/>
  <c r="M15" i="4"/>
  <c r="M14" i="4"/>
  <c r="M13" i="4"/>
  <c r="L13" i="4"/>
  <c r="M12" i="4"/>
  <c r="M11" i="4"/>
  <c r="M10" i="4"/>
  <c r="L10" i="4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M160" i="3"/>
  <c r="M159" i="3"/>
  <c r="L159" i="3"/>
  <c r="M158" i="3"/>
  <c r="M157" i="3"/>
  <c r="L157" i="3"/>
  <c r="M156" i="3"/>
  <c r="M155" i="3"/>
  <c r="L155" i="3"/>
  <c r="M151" i="3"/>
  <c r="M150" i="3"/>
  <c r="L150" i="3"/>
  <c r="M149" i="3"/>
  <c r="M148" i="3"/>
  <c r="L148" i="3"/>
  <c r="M147" i="3"/>
  <c r="M146" i="3"/>
  <c r="L146" i="3"/>
  <c r="M142" i="3"/>
  <c r="M141" i="3"/>
  <c r="L141" i="3"/>
  <c r="M140" i="3"/>
  <c r="M139" i="3"/>
  <c r="L139" i="3"/>
  <c r="M135" i="3"/>
  <c r="M134" i="3"/>
  <c r="L134" i="3"/>
  <c r="M133" i="3"/>
  <c r="M132" i="3"/>
  <c r="L132" i="3"/>
  <c r="M131" i="3"/>
  <c r="M130" i="3"/>
  <c r="L130" i="3"/>
  <c r="M126" i="3"/>
  <c r="M125" i="3"/>
  <c r="L125" i="3"/>
  <c r="M124" i="3"/>
  <c r="M123" i="3"/>
  <c r="L123" i="3"/>
  <c r="M122" i="3"/>
  <c r="M121" i="3"/>
  <c r="L121" i="3"/>
  <c r="M120" i="3"/>
  <c r="M119" i="3"/>
  <c r="L119" i="3"/>
  <c r="M118" i="3"/>
  <c r="M117" i="3"/>
  <c r="L117" i="3"/>
  <c r="M113" i="3"/>
  <c r="M112" i="3"/>
  <c r="L112" i="3"/>
  <c r="M111" i="3"/>
  <c r="M110" i="3"/>
  <c r="L110" i="3"/>
  <c r="M109" i="3"/>
  <c r="M108" i="3"/>
  <c r="L108" i="3"/>
  <c r="M107" i="3"/>
  <c r="M106" i="3"/>
  <c r="L106" i="3"/>
  <c r="M105" i="3"/>
  <c r="M104" i="3"/>
  <c r="L104" i="3"/>
  <c r="M103" i="3"/>
  <c r="M102" i="3"/>
  <c r="L102" i="3"/>
  <c r="M101" i="3"/>
  <c r="M100" i="3"/>
  <c r="L100" i="3"/>
  <c r="M96" i="3"/>
  <c r="M95" i="3"/>
  <c r="L95" i="3"/>
  <c r="M94" i="3"/>
  <c r="M93" i="3"/>
  <c r="L93" i="3"/>
  <c r="M92" i="3"/>
  <c r="M91" i="3"/>
  <c r="L91" i="3"/>
  <c r="M90" i="3"/>
  <c r="M89" i="3"/>
  <c r="L89" i="3"/>
  <c r="M88" i="3"/>
  <c r="M87" i="3"/>
  <c r="L87" i="3"/>
  <c r="M86" i="3"/>
  <c r="M85" i="3"/>
  <c r="L85" i="3"/>
  <c r="M84" i="3"/>
  <c r="M83" i="3"/>
  <c r="L83" i="3"/>
  <c r="M82" i="3"/>
  <c r="M81" i="3"/>
  <c r="L81" i="3"/>
  <c r="M77" i="3"/>
  <c r="M76" i="3"/>
  <c r="L76" i="3"/>
  <c r="M75" i="3"/>
  <c r="M74" i="3"/>
  <c r="L74" i="3"/>
  <c r="M73" i="3"/>
  <c r="M72" i="3"/>
  <c r="L72" i="3"/>
  <c r="M71" i="3"/>
  <c r="M70" i="3"/>
  <c r="L70" i="3"/>
  <c r="M69" i="3"/>
  <c r="M68" i="3"/>
  <c r="L68" i="3"/>
  <c r="M67" i="3"/>
  <c r="M66" i="3"/>
  <c r="L66" i="3"/>
  <c r="M65" i="3"/>
  <c r="M64" i="3"/>
  <c r="L64" i="3"/>
  <c r="M63" i="3"/>
  <c r="M62" i="3"/>
  <c r="L62" i="3"/>
  <c r="M58" i="3"/>
  <c r="M57" i="3"/>
  <c r="L57" i="3"/>
  <c r="M56" i="3"/>
  <c r="M55" i="3"/>
  <c r="L55" i="3"/>
  <c r="M54" i="3"/>
  <c r="M53" i="3"/>
  <c r="L53" i="3"/>
  <c r="M52" i="3"/>
  <c r="M51" i="3"/>
  <c r="L51" i="3"/>
  <c r="M47" i="3"/>
  <c r="M46" i="3"/>
  <c r="L46" i="3"/>
  <c r="M45" i="3"/>
  <c r="M44" i="3"/>
  <c r="L44" i="3"/>
  <c r="M43" i="3"/>
  <c r="M42" i="3"/>
  <c r="L42" i="3"/>
  <c r="M38" i="3"/>
  <c r="M37" i="3"/>
  <c r="L37" i="3"/>
  <c r="M36" i="3"/>
  <c r="M35" i="3"/>
  <c r="L35" i="3"/>
  <c r="M34" i="3"/>
  <c r="M33" i="3"/>
  <c r="L33" i="3"/>
  <c r="M32" i="3"/>
  <c r="M31" i="3"/>
  <c r="L31" i="3"/>
  <c r="M27" i="3"/>
  <c r="M26" i="3"/>
  <c r="L26" i="3"/>
  <c r="M25" i="3"/>
  <c r="M24" i="3"/>
  <c r="L24" i="3"/>
  <c r="M20" i="3"/>
  <c r="M19" i="3"/>
  <c r="L19" i="3"/>
  <c r="M18" i="3"/>
  <c r="M17" i="3"/>
  <c r="L17" i="3"/>
  <c r="M16" i="3"/>
  <c r="M15" i="3"/>
  <c r="L15" i="3"/>
  <c r="M11" i="3"/>
  <c r="M10" i="3"/>
  <c r="L10" i="3"/>
  <c r="L205" i="4"/>
  <c r="L182" i="5"/>
  <c r="L181" i="5"/>
  <c r="L45" i="6"/>
  <c r="J65" i="8"/>
  <c r="J64" i="8"/>
  <c r="J63" i="8"/>
  <c r="L135" i="9"/>
  <c r="L134" i="9"/>
  <c r="L133" i="9"/>
  <c r="L132" i="9"/>
  <c r="L131" i="9"/>
  <c r="K409" i="10"/>
  <c r="I48" i="10"/>
  <c r="I40" i="10"/>
  <c r="O3" i="10"/>
  <c r="L3" i="10"/>
  <c r="G91" i="9"/>
  <c r="K101" i="9"/>
  <c r="K102" i="9"/>
  <c r="K100" i="9"/>
  <c r="K99" i="9"/>
  <c r="K96" i="9"/>
  <c r="K95" i="9"/>
  <c r="G95" i="9"/>
  <c r="K94" i="9"/>
  <c r="K93" i="9"/>
  <c r="G93" i="9"/>
  <c r="K92" i="9"/>
  <c r="K91" i="9"/>
  <c r="K90" i="9"/>
  <c r="K89" i="9"/>
  <c r="G89" i="9"/>
  <c r="K86" i="9"/>
  <c r="K85" i="9"/>
  <c r="K84" i="9"/>
  <c r="K83" i="9"/>
  <c r="K74" i="9"/>
  <c r="K78" i="9"/>
  <c r="K79" i="9"/>
  <c r="K80" i="9"/>
  <c r="K77" i="9"/>
  <c r="K76" i="9"/>
  <c r="K75" i="9"/>
  <c r="K73" i="9"/>
  <c r="K69" i="9"/>
  <c r="K70" i="9"/>
  <c r="K68" i="9"/>
  <c r="K67" i="9"/>
  <c r="K64" i="9"/>
  <c r="K63" i="9"/>
  <c r="K28" i="9"/>
  <c r="K29" i="9"/>
  <c r="K30" i="9"/>
  <c r="K27" i="9"/>
  <c r="K20" i="9"/>
  <c r="K21" i="9"/>
  <c r="K22" i="9"/>
  <c r="K23" i="9"/>
  <c r="K24" i="9"/>
  <c r="K19" i="9"/>
  <c r="L48" i="10" l="1"/>
  <c r="L40" i="10"/>
  <c r="N102" i="9"/>
  <c r="N99" i="9"/>
  <c r="N100" i="9"/>
  <c r="N101" i="9"/>
  <c r="L89" i="9"/>
  <c r="N96" i="9"/>
  <c r="N69" i="9"/>
  <c r="N67" i="9"/>
  <c r="N70" i="9"/>
  <c r="N74" i="9"/>
  <c r="N94" i="9"/>
  <c r="N86" i="9"/>
  <c r="N64" i="9"/>
  <c r="N76" i="9"/>
  <c r="N84" i="9"/>
  <c r="N79" i="9"/>
  <c r="N63" i="9"/>
  <c r="N83" i="9"/>
  <c r="N77" i="9"/>
  <c r="N85" i="9"/>
  <c r="N78" i="9"/>
  <c r="N73" i="9"/>
  <c r="N75" i="9"/>
  <c r="N68" i="9"/>
  <c r="N80" i="9"/>
  <c r="N92" i="9"/>
  <c r="N95" i="9"/>
  <c r="L93" i="9"/>
  <c r="N93" i="9"/>
  <c r="N91" i="9"/>
  <c r="L91" i="9"/>
  <c r="N89" i="9"/>
  <c r="L95" i="9" l="1"/>
  <c r="N90" i="9"/>
  <c r="O3" i="8" l="1"/>
  <c r="I20" i="8"/>
  <c r="L20" i="8" s="1"/>
  <c r="N10" i="8"/>
  <c r="N11" i="8"/>
  <c r="L3" i="8" s="1"/>
  <c r="N12" i="8"/>
  <c r="N13" i="8"/>
  <c r="N14" i="8"/>
  <c r="N15" i="8"/>
  <c r="N16" i="8"/>
  <c r="N17" i="8"/>
  <c r="E20" i="8"/>
  <c r="E22" i="8"/>
  <c r="E24" i="8"/>
  <c r="E26" i="8"/>
  <c r="E28" i="8"/>
  <c r="E30" i="8"/>
  <c r="I43" i="8"/>
  <c r="L43" i="8" s="1"/>
  <c r="I58" i="8"/>
  <c r="L58" i="8" s="1"/>
  <c r="A67" i="8"/>
  <c r="A69" i="8"/>
  <c r="A70" i="8"/>
  <c r="A71" i="8"/>
  <c r="A72" i="8"/>
  <c r="I57" i="8" l="1"/>
  <c r="L57" i="8" s="1"/>
  <c r="I42" i="8"/>
  <c r="L42" i="8" s="1"/>
  <c r="I26" i="8"/>
  <c r="I56" i="8"/>
  <c r="L56" i="8" s="1"/>
  <c r="I37" i="8"/>
  <c r="L37" i="8" s="1"/>
  <c r="I54" i="8"/>
  <c r="L54" i="8" s="1"/>
  <c r="I36" i="8"/>
  <c r="L36" i="8" s="1"/>
  <c r="I65" i="8"/>
  <c r="L65" i="8" s="1"/>
  <c r="I53" i="8"/>
  <c r="L53" i="8" s="1"/>
  <c r="I35" i="8"/>
  <c r="L35" i="8" s="1"/>
  <c r="I23" i="8"/>
  <c r="L23" i="8" s="1"/>
  <c r="I64" i="8"/>
  <c r="L64" i="8" s="1"/>
  <c r="I47" i="8"/>
  <c r="L47" i="8" s="1"/>
  <c r="I31" i="8"/>
  <c r="L31" i="8" s="1"/>
  <c r="I62" i="8"/>
  <c r="L62" i="8" s="1"/>
  <c r="I46" i="8"/>
  <c r="L46" i="8" s="1"/>
  <c r="I61" i="8"/>
  <c r="L61" i="8" s="1"/>
  <c r="I45" i="8"/>
  <c r="L45" i="8" s="1"/>
  <c r="I63" i="8"/>
  <c r="L63" i="8" s="1"/>
  <c r="I55" i="8"/>
  <c r="L55" i="8" s="1"/>
  <c r="I44" i="8"/>
  <c r="L44" i="8" s="1"/>
  <c r="I34" i="8"/>
  <c r="L34" i="8" s="1"/>
  <c r="I60" i="8"/>
  <c r="L60" i="8" s="1"/>
  <c r="I52" i="8"/>
  <c r="L52" i="8" s="1"/>
  <c r="I39" i="8"/>
  <c r="L39" i="8" s="1"/>
  <c r="I11" i="8"/>
  <c r="L11" i="8" s="1"/>
  <c r="I59" i="8"/>
  <c r="L59" i="8" s="1"/>
  <c r="I51" i="8"/>
  <c r="L51" i="8" s="1"/>
  <c r="I38" i="8"/>
  <c r="L38" i="8" s="1"/>
  <c r="I27" i="8"/>
  <c r="L27" i="8" s="1"/>
  <c r="I29" i="8"/>
  <c r="L29" i="8" s="1"/>
  <c r="I21" i="8"/>
  <c r="L21" i="8" s="1"/>
  <c r="I16" i="8"/>
  <c r="L16" i="8" s="1"/>
  <c r="I14" i="8"/>
  <c r="L14" i="8" s="1"/>
  <c r="I24" i="8"/>
  <c r="L24" i="8" s="1"/>
  <c r="I12" i="8"/>
  <c r="L12" i="8" s="1"/>
  <c r="I25" i="8"/>
  <c r="L25" i="8" s="1"/>
  <c r="I15" i="8"/>
  <c r="L15" i="8" s="1"/>
  <c r="I13" i="8"/>
  <c r="L13" i="8" s="1"/>
  <c r="I30" i="8"/>
  <c r="I22" i="8"/>
  <c r="I17" i="8"/>
  <c r="L17" i="8" s="1"/>
  <c r="I10" i="8"/>
  <c r="L10" i="8" s="1"/>
  <c r="I28" i="8"/>
  <c r="L28" i="8" s="1"/>
  <c r="L26" i="8" l="1"/>
  <c r="L22" i="8"/>
  <c r="L30" i="8"/>
  <c r="Q3" i="6"/>
  <c r="N3" i="6"/>
  <c r="I3" i="8" l="1"/>
  <c r="G41" i="5"/>
  <c r="K41" i="5"/>
  <c r="N41" i="5"/>
  <c r="K42" i="5"/>
  <c r="N42" i="5"/>
  <c r="G43" i="5"/>
  <c r="K43" i="5"/>
  <c r="N43" i="5"/>
  <c r="K44" i="5"/>
  <c r="N44" i="5"/>
  <c r="G45" i="5"/>
  <c r="K45" i="5"/>
  <c r="N45" i="5"/>
  <c r="K46" i="5"/>
  <c r="N46" i="5"/>
  <c r="G47" i="5"/>
  <c r="K47" i="5"/>
  <c r="N47" i="5"/>
  <c r="K48" i="5"/>
  <c r="N48" i="5"/>
  <c r="G49" i="5"/>
  <c r="K49" i="5"/>
  <c r="N49" i="5"/>
  <c r="K50" i="5"/>
  <c r="N50" i="5"/>
  <c r="Q3" i="5" l="1"/>
  <c r="N3" i="5"/>
  <c r="G155" i="5"/>
  <c r="G153" i="5"/>
  <c r="G151" i="5"/>
  <c r="G149" i="5"/>
  <c r="G131" i="5"/>
  <c r="G129" i="5"/>
  <c r="G127" i="5"/>
  <c r="G125" i="5"/>
  <c r="G123" i="5"/>
  <c r="G121" i="5"/>
  <c r="G119" i="5"/>
  <c r="G102" i="5"/>
  <c r="G114" i="5"/>
  <c r="G112" i="5"/>
  <c r="G110" i="5"/>
  <c r="G108" i="5"/>
  <c r="G106" i="5"/>
  <c r="G104" i="5"/>
  <c r="G82" i="5" l="1"/>
  <c r="G78" i="5"/>
  <c r="G74" i="5"/>
  <c r="G68" i="5"/>
  <c r="G80" i="5"/>
  <c r="G76" i="5"/>
  <c r="G72" i="5"/>
  <c r="G70" i="5"/>
  <c r="G66" i="5"/>
  <c r="G64" i="5"/>
  <c r="G62" i="5"/>
  <c r="G60" i="5"/>
  <c r="G36" i="5" l="1"/>
  <c r="G34" i="5"/>
  <c r="G32" i="5"/>
  <c r="G30" i="5"/>
  <c r="G21" i="5"/>
  <c r="G25" i="5"/>
  <c r="G23" i="5"/>
  <c r="G19" i="5"/>
  <c r="Q3" i="4" l="1"/>
  <c r="N3" i="4"/>
  <c r="G149" i="4"/>
  <c r="G146" i="4"/>
  <c r="G143" i="4"/>
  <c r="G140" i="4"/>
  <c r="G137" i="4"/>
  <c r="G134" i="4"/>
  <c r="G129" i="4"/>
  <c r="G114" i="4"/>
  <c r="G126" i="4"/>
  <c r="G123" i="4"/>
  <c r="G120" i="4"/>
  <c r="G117" i="4"/>
  <c r="G57" i="4"/>
  <c r="G54" i="4"/>
  <c r="G51" i="4"/>
  <c r="G48" i="4"/>
  <c r="G45" i="4"/>
  <c r="G42" i="4"/>
  <c r="G39" i="4"/>
  <c r="G36" i="4"/>
  <c r="G33" i="4"/>
  <c r="G30" i="4"/>
  <c r="G89" i="4"/>
  <c r="G83" i="4"/>
  <c r="G77" i="4"/>
  <c r="G86" i="4"/>
  <c r="G80" i="4"/>
  <c r="G74" i="4"/>
  <c r="G71" i="4"/>
  <c r="G68" i="4"/>
  <c r="G65" i="4"/>
  <c r="G62" i="4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64" i="3"/>
  <c r="K131" i="3"/>
  <c r="K132" i="3"/>
  <c r="K133" i="3"/>
  <c r="K134" i="3"/>
  <c r="K135" i="3"/>
  <c r="K130" i="3"/>
  <c r="G134" i="3"/>
  <c r="G132" i="3"/>
  <c r="G130" i="3"/>
  <c r="G125" i="3"/>
  <c r="G123" i="3"/>
  <c r="G121" i="3"/>
  <c r="G119" i="3"/>
  <c r="G117" i="3"/>
  <c r="N96" i="3"/>
  <c r="K95" i="3"/>
  <c r="K96" i="3"/>
  <c r="G95" i="3"/>
  <c r="G93" i="3"/>
  <c r="G91" i="3"/>
  <c r="G89" i="3"/>
  <c r="G87" i="3"/>
  <c r="G85" i="3"/>
  <c r="G83" i="3"/>
  <c r="G81" i="3"/>
  <c r="N95" i="3" l="1"/>
  <c r="N68" i="3" l="1"/>
  <c r="K68" i="3"/>
  <c r="K69" i="3"/>
  <c r="N69" i="3" s="1"/>
  <c r="K70" i="3"/>
  <c r="N70" i="3" s="1"/>
  <c r="K71" i="3"/>
  <c r="N71" i="3" s="1"/>
  <c r="K72" i="3"/>
  <c r="K73" i="3"/>
  <c r="N73" i="3" s="1"/>
  <c r="K74" i="3"/>
  <c r="N74" i="3" s="1"/>
  <c r="K64" i="3"/>
  <c r="K65" i="3"/>
  <c r="N65" i="3" s="1"/>
  <c r="G72" i="3"/>
  <c r="G68" i="3"/>
  <c r="G64" i="3"/>
  <c r="Q3" i="3"/>
  <c r="N3" i="3"/>
  <c r="N72" i="3" l="1"/>
  <c r="N64" i="3"/>
  <c r="G10" i="3" l="1"/>
  <c r="G76" i="3"/>
  <c r="G74" i="3"/>
  <c r="G70" i="3"/>
  <c r="G66" i="3"/>
  <c r="G62" i="3"/>
  <c r="E203" i="10" l="1"/>
  <c r="E205" i="10"/>
  <c r="E201" i="10"/>
  <c r="E199" i="10"/>
  <c r="E197" i="10"/>
  <c r="E195" i="10"/>
  <c r="E193" i="10"/>
  <c r="E191" i="10"/>
  <c r="E189" i="10"/>
  <c r="E185" i="10" l="1"/>
  <c r="E183" i="10"/>
  <c r="E181" i="10"/>
  <c r="E179" i="10"/>
  <c r="E177" i="10"/>
  <c r="E175" i="10"/>
  <c r="E173" i="10"/>
  <c r="E171" i="10"/>
  <c r="E169" i="10"/>
  <c r="E167" i="10"/>
  <c r="E109" i="10"/>
  <c r="E107" i="10"/>
  <c r="E105" i="10"/>
  <c r="E103" i="10"/>
  <c r="E101" i="10"/>
  <c r="G109" i="4" l="1"/>
  <c r="G103" i="4"/>
  <c r="A211" i="4" l="1"/>
  <c r="K9" i="9"/>
  <c r="G38" i="9"/>
  <c r="G40" i="9"/>
  <c r="G42" i="9"/>
  <c r="G44" i="9"/>
  <c r="G46" i="9"/>
  <c r="A137" i="9"/>
  <c r="A139" i="9"/>
  <c r="A140" i="9"/>
  <c r="A141" i="9"/>
  <c r="A142" i="9"/>
  <c r="Q124" i="9"/>
  <c r="Q3" i="9" s="1"/>
  <c r="N9" i="9" l="1"/>
  <c r="K135" i="9"/>
  <c r="K131" i="9"/>
  <c r="K127" i="9"/>
  <c r="K133" i="9"/>
  <c r="K129" i="9"/>
  <c r="K125" i="9"/>
  <c r="K122" i="9"/>
  <c r="K118" i="9"/>
  <c r="K114" i="9"/>
  <c r="K110" i="9"/>
  <c r="K106" i="9"/>
  <c r="K58" i="9"/>
  <c r="K52" i="9"/>
  <c r="K46" i="9"/>
  <c r="K42" i="9"/>
  <c r="K38" i="9"/>
  <c r="K34" i="9"/>
  <c r="N28" i="9"/>
  <c r="N22" i="9"/>
  <c r="K16" i="9"/>
  <c r="K12" i="9"/>
  <c r="K132" i="9"/>
  <c r="K128" i="9"/>
  <c r="K121" i="9"/>
  <c r="K117" i="9"/>
  <c r="K113" i="9"/>
  <c r="K109" i="9"/>
  <c r="K105" i="9"/>
  <c r="K57" i="9"/>
  <c r="K51" i="9"/>
  <c r="K45" i="9"/>
  <c r="K41" i="9"/>
  <c r="K33" i="9"/>
  <c r="N27" i="9"/>
  <c r="N21" i="9"/>
  <c r="K15" i="9"/>
  <c r="K11" i="9"/>
  <c r="K124" i="9"/>
  <c r="K120" i="9"/>
  <c r="K116" i="9"/>
  <c r="K112" i="9"/>
  <c r="K108" i="9"/>
  <c r="K60" i="9"/>
  <c r="K54" i="9"/>
  <c r="K50" i="9"/>
  <c r="K44" i="9"/>
  <c r="K40" i="9"/>
  <c r="N30" i="9"/>
  <c r="N24" i="9"/>
  <c r="N20" i="9"/>
  <c r="K14" i="9"/>
  <c r="K10" i="9"/>
  <c r="K134" i="9"/>
  <c r="K130" i="9"/>
  <c r="K126" i="9"/>
  <c r="K123" i="9"/>
  <c r="K119" i="9"/>
  <c r="K115" i="9"/>
  <c r="K111" i="9"/>
  <c r="K107" i="9"/>
  <c r="K59" i="9"/>
  <c r="K53" i="9"/>
  <c r="K47" i="9"/>
  <c r="K43" i="9"/>
  <c r="K39" i="9"/>
  <c r="K35" i="9"/>
  <c r="N29" i="9"/>
  <c r="N23" i="9"/>
  <c r="N19" i="9"/>
  <c r="K13" i="9"/>
  <c r="N53" i="9" l="1"/>
  <c r="N130" i="9"/>
  <c r="N125" i="9"/>
  <c r="N134" i="9"/>
  <c r="N57" i="9"/>
  <c r="N105" i="9"/>
  <c r="N109" i="9"/>
  <c r="N106" i="9"/>
  <c r="N127" i="9"/>
  <c r="N44" i="9"/>
  <c r="N11" i="9"/>
  <c r="N52" i="9"/>
  <c r="N54" i="9"/>
  <c r="N16" i="9"/>
  <c r="N60" i="9"/>
  <c r="N115" i="9"/>
  <c r="N113" i="9"/>
  <c r="N110" i="9"/>
  <c r="N131" i="9"/>
  <c r="N13" i="9"/>
  <c r="N124" i="9"/>
  <c r="P124" i="9" s="1"/>
  <c r="N3" i="9" s="1"/>
  <c r="N132" i="9"/>
  <c r="N50" i="9"/>
  <c r="N129" i="9"/>
  <c r="N107" i="9"/>
  <c r="N58" i="9"/>
  <c r="N111" i="9"/>
  <c r="N112" i="9"/>
  <c r="N34" i="9"/>
  <c r="N135" i="9"/>
  <c r="N15" i="9"/>
  <c r="N14" i="9"/>
  <c r="N35" i="9"/>
  <c r="N108" i="9"/>
  <c r="N33" i="9"/>
  <c r="N117" i="9"/>
  <c r="N114" i="9"/>
  <c r="N43" i="9"/>
  <c r="N123" i="9"/>
  <c r="N116" i="9"/>
  <c r="N41" i="9"/>
  <c r="N121" i="9"/>
  <c r="N38" i="9"/>
  <c r="N118" i="9"/>
  <c r="N51" i="9"/>
  <c r="N59" i="9"/>
  <c r="N12" i="9"/>
  <c r="N10" i="9"/>
  <c r="N133" i="9"/>
  <c r="N39" i="9"/>
  <c r="N119" i="9"/>
  <c r="N47" i="9"/>
  <c r="N126" i="9"/>
  <c r="N120" i="9"/>
  <c r="N45" i="9"/>
  <c r="N128" i="9"/>
  <c r="N122" i="9"/>
  <c r="N42" i="9"/>
  <c r="L40" i="9" l="1"/>
  <c r="L38" i="9"/>
  <c r="L44" i="9"/>
  <c r="L46" i="9"/>
  <c r="N40" i="9"/>
  <c r="L42" i="9"/>
  <c r="N46" i="9"/>
  <c r="N136" i="9"/>
  <c r="G106" i="3"/>
  <c r="G104" i="3"/>
  <c r="G102" i="3"/>
  <c r="G100" i="3"/>
  <c r="K3" i="9" l="1"/>
  <c r="G159" i="3"/>
  <c r="I11" i="11" l="1"/>
  <c r="K11" i="11" s="1"/>
  <c r="E13" i="11"/>
  <c r="E15" i="11"/>
  <c r="E17" i="11"/>
  <c r="E19" i="11"/>
  <c r="E21" i="11"/>
  <c r="E23" i="11"/>
  <c r="E25" i="11"/>
  <c r="E27" i="11"/>
  <c r="E29" i="11"/>
  <c r="E31" i="11"/>
  <c r="E33" i="11"/>
  <c r="E35" i="11"/>
  <c r="E37" i="11"/>
  <c r="E39" i="11"/>
  <c r="E41" i="11"/>
  <c r="E43" i="11"/>
  <c r="E45" i="11"/>
  <c r="E47" i="11"/>
  <c r="J11" i="11" l="1"/>
  <c r="I39" i="11"/>
  <c r="K39" i="11" s="1"/>
  <c r="I36" i="11"/>
  <c r="I29" i="11"/>
  <c r="I59" i="11"/>
  <c r="I12" i="11"/>
  <c r="K12" i="11" s="1"/>
  <c r="L12" i="11" s="1"/>
  <c r="I54" i="11"/>
  <c r="I49" i="11"/>
  <c r="I47" i="11"/>
  <c r="K47" i="11" s="1"/>
  <c r="I62" i="11"/>
  <c r="I44" i="11"/>
  <c r="I22" i="11"/>
  <c r="I58" i="11"/>
  <c r="I10" i="11"/>
  <c r="I55" i="11"/>
  <c r="I32" i="11"/>
  <c r="I63" i="11"/>
  <c r="I23" i="11"/>
  <c r="K23" i="11" s="1"/>
  <c r="L23" i="11" s="1"/>
  <c r="I60" i="11"/>
  <c r="I42" i="11"/>
  <c r="I19" i="11"/>
  <c r="K19" i="11" s="1"/>
  <c r="L19" i="11" s="1"/>
  <c r="I61" i="11"/>
  <c r="I53" i="11"/>
  <c r="I40" i="11"/>
  <c r="I30" i="11"/>
  <c r="I21" i="11"/>
  <c r="I9" i="11"/>
  <c r="J9" i="11" s="1"/>
  <c r="I48" i="11"/>
  <c r="I38" i="11"/>
  <c r="I28" i="11"/>
  <c r="I18" i="11"/>
  <c r="I26" i="11"/>
  <c r="I17" i="11"/>
  <c r="K17" i="11" s="1"/>
  <c r="I57" i="11"/>
  <c r="I46" i="11"/>
  <c r="I35" i="11"/>
  <c r="K35" i="11" s="1"/>
  <c r="L35" i="11" s="1"/>
  <c r="I15" i="11"/>
  <c r="K15" i="11" s="1"/>
  <c r="I64" i="11"/>
  <c r="I56" i="11"/>
  <c r="I45" i="11"/>
  <c r="I33" i="11"/>
  <c r="I25" i="11"/>
  <c r="K25" i="11" s="1"/>
  <c r="I13" i="11"/>
  <c r="L11" i="11"/>
  <c r="I43" i="11"/>
  <c r="K43" i="11" s="1"/>
  <c r="I41" i="11"/>
  <c r="K41" i="11" s="1"/>
  <c r="I37" i="11"/>
  <c r="J37" i="11" s="1"/>
  <c r="I34" i="11"/>
  <c r="I31" i="11"/>
  <c r="K31" i="11" s="1"/>
  <c r="I27" i="11"/>
  <c r="K27" i="11" s="1"/>
  <c r="I24" i="11"/>
  <c r="I20" i="11"/>
  <c r="I16" i="11"/>
  <c r="I14" i="11"/>
  <c r="K10" i="11" l="1"/>
  <c r="L10" i="11" s="1"/>
  <c r="J19" i="11"/>
  <c r="K9" i="11"/>
  <c r="J15" i="11"/>
  <c r="J17" i="11"/>
  <c r="J39" i="11"/>
  <c r="J35" i="11"/>
  <c r="J25" i="11"/>
  <c r="K44" i="11"/>
  <c r="L44" i="11" s="1"/>
  <c r="K26" i="11"/>
  <c r="L26" i="11" s="1"/>
  <c r="K33" i="11"/>
  <c r="L33" i="11" s="1"/>
  <c r="K36" i="11"/>
  <c r="L36" i="11" s="1"/>
  <c r="K45" i="11"/>
  <c r="L45" i="11" s="1"/>
  <c r="J45" i="11"/>
  <c r="J64" i="11"/>
  <c r="L64" i="11" s="1"/>
  <c r="J53" i="11"/>
  <c r="L53" i="11" s="1"/>
  <c r="K49" i="11"/>
  <c r="L49" i="11" s="1"/>
  <c r="J31" i="11"/>
  <c r="J41" i="11"/>
  <c r="K21" i="11"/>
  <c r="L21" i="11" s="1"/>
  <c r="J62" i="11"/>
  <c r="L62" i="11" s="1"/>
  <c r="K40" i="11"/>
  <c r="L40" i="11" s="1"/>
  <c r="J27" i="11"/>
  <c r="J55" i="11"/>
  <c r="L55" i="11" s="1"/>
  <c r="J54" i="11"/>
  <c r="L54" i="11" s="1"/>
  <c r="K38" i="11"/>
  <c r="L38" i="11" s="1"/>
  <c r="J43" i="11"/>
  <c r="K34" i="11"/>
  <c r="L34" i="11" s="1"/>
  <c r="J63" i="11"/>
  <c r="L63" i="11" s="1"/>
  <c r="J33" i="11"/>
  <c r="K37" i="11"/>
  <c r="L37" i="11" s="1"/>
  <c r="J61" i="11"/>
  <c r="L61" i="11" s="1"/>
  <c r="J47" i="11"/>
  <c r="K20" i="11"/>
  <c r="L20" i="11" s="1"/>
  <c r="K24" i="11"/>
  <c r="L24" i="11" s="1"/>
  <c r="K13" i="11"/>
  <c r="L13" i="11" s="1"/>
  <c r="K46" i="11"/>
  <c r="L46" i="11" s="1"/>
  <c r="K48" i="11"/>
  <c r="L48" i="11" s="1"/>
  <c r="K42" i="11"/>
  <c r="L42" i="11" s="1"/>
  <c r="J58" i="11"/>
  <c r="L58" i="11" s="1"/>
  <c r="J59" i="11"/>
  <c r="L59" i="11" s="1"/>
  <c r="L9" i="11"/>
  <c r="J23" i="11"/>
  <c r="J13" i="11"/>
  <c r="K30" i="11"/>
  <c r="L30" i="11" s="1"/>
  <c r="J56" i="11"/>
  <c r="L56" i="11" s="1"/>
  <c r="K14" i="11"/>
  <c r="L14" i="11" s="1"/>
  <c r="K18" i="11"/>
  <c r="L18" i="11" s="1"/>
  <c r="K32" i="11"/>
  <c r="L32" i="11" s="1"/>
  <c r="K16" i="11"/>
  <c r="L16" i="11" s="1"/>
  <c r="K28" i="11"/>
  <c r="L28" i="11" s="1"/>
  <c r="J57" i="11"/>
  <c r="L57" i="11" s="1"/>
  <c r="J60" i="11"/>
  <c r="L60" i="11" s="1"/>
  <c r="K22" i="11"/>
  <c r="L22" i="11" s="1"/>
  <c r="K29" i="11"/>
  <c r="L29" i="11" s="1"/>
  <c r="J21" i="11"/>
  <c r="J29" i="11"/>
  <c r="L47" i="11"/>
  <c r="L17" i="11"/>
  <c r="L39" i="11"/>
  <c r="L25" i="11"/>
  <c r="L15" i="11"/>
  <c r="L43" i="11"/>
  <c r="L31" i="11"/>
  <c r="L41" i="11"/>
  <c r="L27" i="11"/>
  <c r="G89" i="5"/>
  <c r="H3" i="11" l="1"/>
  <c r="E221" i="10"/>
  <c r="E223" i="10"/>
  <c r="E225" i="10"/>
  <c r="E227" i="10"/>
  <c r="E229" i="10"/>
  <c r="E231" i="10"/>
  <c r="E233" i="10"/>
  <c r="E235" i="10"/>
  <c r="E219" i="10"/>
  <c r="E207" i="10"/>
  <c r="E209" i="10"/>
  <c r="E211" i="10"/>
  <c r="E213" i="10"/>
  <c r="E215" i="10"/>
  <c r="E149" i="10"/>
  <c r="E151" i="10"/>
  <c r="E153" i="10"/>
  <c r="E155" i="10"/>
  <c r="E157" i="10"/>
  <c r="E159" i="10"/>
  <c r="E161" i="10"/>
  <c r="E163" i="10"/>
  <c r="E165" i="10"/>
  <c r="E147" i="10"/>
  <c r="E93" i="10"/>
  <c r="E95" i="10"/>
  <c r="E97" i="10"/>
  <c r="E99" i="10"/>
  <c r="E91" i="10"/>
  <c r="G25" i="6" l="1"/>
  <c r="G23" i="6"/>
  <c r="G21" i="6"/>
  <c r="G19" i="6"/>
  <c r="G17" i="6"/>
  <c r="G15" i="6"/>
  <c r="G11" i="6"/>
  <c r="G9" i="6"/>
  <c r="G146" i="5"/>
  <c r="G136" i="5"/>
  <c r="G138" i="5"/>
  <c r="G140" i="5"/>
  <c r="G142" i="5"/>
  <c r="G144" i="5"/>
  <c r="G134" i="5"/>
  <c r="G91" i="5"/>
  <c r="G93" i="5"/>
  <c r="G95" i="5"/>
  <c r="G97" i="5"/>
  <c r="G87" i="5"/>
  <c r="G51" i="5"/>
  <c r="G53" i="5"/>
  <c r="G55" i="5"/>
  <c r="G12" i="5"/>
  <c r="G14" i="5"/>
  <c r="G10" i="5"/>
  <c r="G172" i="4"/>
  <c r="G166" i="4"/>
  <c r="G169" i="4"/>
  <c r="G157" i="4"/>
  <c r="G160" i="4"/>
  <c r="G163" i="4"/>
  <c r="G154" i="4"/>
  <c r="G106" i="4"/>
  <c r="G97" i="4"/>
  <c r="G100" i="4"/>
  <c r="G94" i="4"/>
  <c r="G10" i="4"/>
  <c r="G25" i="4"/>
  <c r="G13" i="4"/>
  <c r="G16" i="4"/>
  <c r="G19" i="4"/>
  <c r="G22" i="4"/>
  <c r="G157" i="3"/>
  <c r="G155" i="3"/>
  <c r="G148" i="3"/>
  <c r="G150" i="3"/>
  <c r="G146" i="3"/>
  <c r="G17" i="3"/>
  <c r="G19" i="3"/>
  <c r="G15" i="3"/>
  <c r="G26" i="3"/>
  <c r="G24" i="3"/>
  <c r="G53" i="3"/>
  <c r="G55" i="3"/>
  <c r="G57" i="3"/>
  <c r="G51" i="3"/>
  <c r="G44" i="3"/>
  <c r="G46" i="3"/>
  <c r="G42" i="3"/>
  <c r="G141" i="3"/>
  <c r="G139" i="3"/>
  <c r="G108" i="3"/>
  <c r="G110" i="3"/>
  <c r="G112" i="3"/>
  <c r="K40" i="6" l="1"/>
  <c r="N40" i="6" s="1"/>
  <c r="K155" i="5" l="1"/>
  <c r="K153" i="5"/>
  <c r="K150" i="5"/>
  <c r="N150" i="5" s="1"/>
  <c r="K152" i="5"/>
  <c r="N152" i="5" s="1"/>
  <c r="K154" i="5"/>
  <c r="N154" i="5" s="1"/>
  <c r="K156" i="5"/>
  <c r="N156" i="5" s="1"/>
  <c r="K151" i="5"/>
  <c r="K149" i="5"/>
  <c r="K131" i="5"/>
  <c r="K127" i="5"/>
  <c r="K123" i="5"/>
  <c r="K119" i="5"/>
  <c r="K129" i="5"/>
  <c r="K125" i="5"/>
  <c r="K121" i="5"/>
  <c r="K130" i="5"/>
  <c r="N130" i="5" s="1"/>
  <c r="K126" i="5"/>
  <c r="N126" i="5" s="1"/>
  <c r="K122" i="5"/>
  <c r="N122" i="5" s="1"/>
  <c r="K124" i="5"/>
  <c r="N124" i="5" s="1"/>
  <c r="K120" i="5"/>
  <c r="N120" i="5" s="1"/>
  <c r="K132" i="5"/>
  <c r="N132" i="5" s="1"/>
  <c r="K128" i="5"/>
  <c r="N128" i="5" s="1"/>
  <c r="K102" i="5"/>
  <c r="K103" i="5"/>
  <c r="N103" i="5" s="1"/>
  <c r="K110" i="5"/>
  <c r="K113" i="5"/>
  <c r="N113" i="5" s="1"/>
  <c r="K109" i="5"/>
  <c r="N109" i="5" s="1"/>
  <c r="K112" i="5"/>
  <c r="K115" i="5"/>
  <c r="N115" i="5" s="1"/>
  <c r="K108" i="5"/>
  <c r="K106" i="5"/>
  <c r="K111" i="5"/>
  <c r="N111" i="5" s="1"/>
  <c r="K104" i="5"/>
  <c r="K107" i="5"/>
  <c r="N107" i="5" s="1"/>
  <c r="K114" i="5"/>
  <c r="K105" i="5"/>
  <c r="N105" i="5" s="1"/>
  <c r="K74" i="5"/>
  <c r="K68" i="5"/>
  <c r="K78" i="5"/>
  <c r="K75" i="5"/>
  <c r="N75" i="5" s="1"/>
  <c r="K82" i="5"/>
  <c r="K79" i="5"/>
  <c r="N79" i="5" s="1"/>
  <c r="K69" i="5"/>
  <c r="N69" i="5" s="1"/>
  <c r="K83" i="5"/>
  <c r="N83" i="5" s="1"/>
  <c r="K67" i="5"/>
  <c r="N67" i="5" s="1"/>
  <c r="K65" i="5"/>
  <c r="N65" i="5" s="1"/>
  <c r="K72" i="5"/>
  <c r="K61" i="5"/>
  <c r="N61" i="5" s="1"/>
  <c r="K73" i="5"/>
  <c r="N73" i="5" s="1"/>
  <c r="K71" i="5"/>
  <c r="N71" i="5" s="1"/>
  <c r="K66" i="5"/>
  <c r="K63" i="5"/>
  <c r="N63" i="5" s="1"/>
  <c r="K81" i="5"/>
  <c r="N81" i="5" s="1"/>
  <c r="K77" i="5"/>
  <c r="N77" i="5" s="1"/>
  <c r="K62" i="5"/>
  <c r="K60" i="5"/>
  <c r="K64" i="5"/>
  <c r="K70" i="5"/>
  <c r="K80" i="5"/>
  <c r="K76" i="5"/>
  <c r="K35" i="5"/>
  <c r="N35" i="5" s="1"/>
  <c r="K31" i="5"/>
  <c r="N31" i="5" s="1"/>
  <c r="K33" i="5"/>
  <c r="N33" i="5" s="1"/>
  <c r="K36" i="5"/>
  <c r="K32" i="5"/>
  <c r="K30" i="5"/>
  <c r="K34" i="5"/>
  <c r="K37" i="5"/>
  <c r="N37" i="5" s="1"/>
  <c r="K21" i="5"/>
  <c r="K22" i="5"/>
  <c r="N22" i="5" s="1"/>
  <c r="K20" i="5"/>
  <c r="N20" i="5" s="1"/>
  <c r="K26" i="5"/>
  <c r="N26" i="5" s="1"/>
  <c r="K24" i="5"/>
  <c r="N24" i="5" s="1"/>
  <c r="K23" i="5"/>
  <c r="K19" i="5"/>
  <c r="K25" i="5"/>
  <c r="K150" i="4"/>
  <c r="N150" i="4" s="1"/>
  <c r="K146" i="4"/>
  <c r="K137" i="4"/>
  <c r="K144" i="4"/>
  <c r="N144" i="4" s="1"/>
  <c r="K136" i="4"/>
  <c r="N136" i="4" s="1"/>
  <c r="K135" i="4"/>
  <c r="N135" i="4" s="1"/>
  <c r="K151" i="4"/>
  <c r="N151" i="4" s="1"/>
  <c r="K142" i="4"/>
  <c r="N142" i="4" s="1"/>
  <c r="K147" i="4"/>
  <c r="N147" i="4" s="1"/>
  <c r="K141" i="4"/>
  <c r="N141" i="4" s="1"/>
  <c r="K140" i="4"/>
  <c r="K145" i="4"/>
  <c r="N145" i="4" s="1"/>
  <c r="K149" i="4"/>
  <c r="K139" i="4"/>
  <c r="N139" i="4" s="1"/>
  <c r="K143" i="4"/>
  <c r="K138" i="4"/>
  <c r="N138" i="4" s="1"/>
  <c r="K134" i="4"/>
  <c r="K148" i="4"/>
  <c r="N148" i="4" s="1"/>
  <c r="K130" i="4"/>
  <c r="N130" i="4" s="1"/>
  <c r="K129" i="4"/>
  <c r="K116" i="4"/>
  <c r="N116" i="4" s="1"/>
  <c r="K131" i="4"/>
  <c r="N131" i="4" s="1"/>
  <c r="K115" i="4"/>
  <c r="N115" i="4" s="1"/>
  <c r="K114" i="4"/>
  <c r="K126" i="4"/>
  <c r="K117" i="4"/>
  <c r="K121" i="4"/>
  <c r="N121" i="4" s="1"/>
  <c r="K125" i="4"/>
  <c r="N125" i="4" s="1"/>
  <c r="K124" i="4"/>
  <c r="N124" i="4" s="1"/>
  <c r="K120" i="4"/>
  <c r="K123" i="4"/>
  <c r="K127" i="4"/>
  <c r="N127" i="4" s="1"/>
  <c r="K122" i="4"/>
  <c r="N122" i="4" s="1"/>
  <c r="K128" i="4"/>
  <c r="N128" i="4" s="1"/>
  <c r="K119" i="4"/>
  <c r="N119" i="4" s="1"/>
  <c r="K118" i="4"/>
  <c r="N118" i="4" s="1"/>
  <c r="K58" i="4"/>
  <c r="N58" i="4" s="1"/>
  <c r="K49" i="4"/>
  <c r="N49" i="4" s="1"/>
  <c r="K31" i="4"/>
  <c r="N31" i="4" s="1"/>
  <c r="K53" i="4"/>
  <c r="N53" i="4" s="1"/>
  <c r="K34" i="4"/>
  <c r="N34" i="4" s="1"/>
  <c r="K52" i="4"/>
  <c r="N52" i="4" s="1"/>
  <c r="K44" i="4"/>
  <c r="N44" i="4" s="1"/>
  <c r="K45" i="4"/>
  <c r="K36" i="4"/>
  <c r="K48" i="4"/>
  <c r="K41" i="4"/>
  <c r="N41" i="4" s="1"/>
  <c r="K35" i="4"/>
  <c r="N35" i="4" s="1"/>
  <c r="K30" i="4"/>
  <c r="K57" i="4"/>
  <c r="K40" i="4"/>
  <c r="N40" i="4" s="1"/>
  <c r="K47" i="4"/>
  <c r="N47" i="4" s="1"/>
  <c r="K39" i="4"/>
  <c r="K43" i="4"/>
  <c r="N43" i="4" s="1"/>
  <c r="K32" i="4"/>
  <c r="N32" i="4" s="1"/>
  <c r="K59" i="4"/>
  <c r="N59" i="4" s="1"/>
  <c r="K56" i="4"/>
  <c r="N56" i="4" s="1"/>
  <c r="K51" i="4"/>
  <c r="K33" i="4"/>
  <c r="K54" i="4"/>
  <c r="K42" i="4"/>
  <c r="K38" i="4"/>
  <c r="N38" i="4" s="1"/>
  <c r="K46" i="4"/>
  <c r="N46" i="4" s="1"/>
  <c r="K37" i="4"/>
  <c r="N37" i="4" s="1"/>
  <c r="K50" i="4"/>
  <c r="N50" i="4" s="1"/>
  <c r="K55" i="4"/>
  <c r="N55" i="4" s="1"/>
  <c r="K89" i="4"/>
  <c r="K85" i="4"/>
  <c r="N85" i="4" s="1"/>
  <c r="K84" i="4"/>
  <c r="N84" i="4" s="1"/>
  <c r="K83" i="4"/>
  <c r="K90" i="4"/>
  <c r="N90" i="4" s="1"/>
  <c r="K91" i="4"/>
  <c r="N91" i="4" s="1"/>
  <c r="K79" i="4"/>
  <c r="N79" i="4" s="1"/>
  <c r="K78" i="4"/>
  <c r="N78" i="4" s="1"/>
  <c r="K77" i="4"/>
  <c r="K88" i="4"/>
  <c r="N88" i="4" s="1"/>
  <c r="K80" i="4"/>
  <c r="K72" i="4"/>
  <c r="N72" i="4" s="1"/>
  <c r="K67" i="4"/>
  <c r="N67" i="4" s="1"/>
  <c r="K62" i="4"/>
  <c r="K68" i="4"/>
  <c r="K63" i="4"/>
  <c r="N63" i="4" s="1"/>
  <c r="K87" i="4"/>
  <c r="N87" i="4" s="1"/>
  <c r="K71" i="4"/>
  <c r="K66" i="4"/>
  <c r="N66" i="4" s="1"/>
  <c r="K64" i="4"/>
  <c r="N64" i="4" s="1"/>
  <c r="K73" i="4"/>
  <c r="N73" i="4" s="1"/>
  <c r="K65" i="4"/>
  <c r="K69" i="4"/>
  <c r="N69" i="4" s="1"/>
  <c r="K74" i="4"/>
  <c r="K86" i="4"/>
  <c r="K76" i="4"/>
  <c r="N76" i="4" s="1"/>
  <c r="K70" i="4"/>
  <c r="N70" i="4" s="1"/>
  <c r="K75" i="4"/>
  <c r="N75" i="4" s="1"/>
  <c r="K82" i="4"/>
  <c r="N82" i="4" s="1"/>
  <c r="K81" i="4"/>
  <c r="N81" i="4" s="1"/>
  <c r="K94" i="3"/>
  <c r="N94" i="3" s="1"/>
  <c r="K93" i="3"/>
  <c r="K15" i="3"/>
  <c r="N15" i="3" s="1"/>
  <c r="K10" i="3"/>
  <c r="K11" i="3"/>
  <c r="N11" i="3" s="1"/>
  <c r="K77" i="3"/>
  <c r="N77" i="3" s="1"/>
  <c r="K76" i="3"/>
  <c r="N76" i="3" s="1"/>
  <c r="K62" i="3"/>
  <c r="K63" i="3"/>
  <c r="N63" i="3" s="1"/>
  <c r="K67" i="3"/>
  <c r="N67" i="3" s="1"/>
  <c r="K75" i="3"/>
  <c r="N75" i="3" s="1"/>
  <c r="K66" i="3"/>
  <c r="N66" i="3" s="1"/>
  <c r="K92" i="3"/>
  <c r="N92" i="3" s="1"/>
  <c r="K90" i="3"/>
  <c r="N90" i="3" s="1"/>
  <c r="K89" i="3"/>
  <c r="K91" i="3"/>
  <c r="K88" i="3"/>
  <c r="N88" i="3" s="1"/>
  <c r="K83" i="3"/>
  <c r="K86" i="3"/>
  <c r="N86" i="3" s="1"/>
  <c r="K85" i="3"/>
  <c r="K82" i="3"/>
  <c r="N82" i="3" s="1"/>
  <c r="K87" i="3"/>
  <c r="K84" i="3"/>
  <c r="N84" i="3" s="1"/>
  <c r="K81" i="3"/>
  <c r="K126" i="3"/>
  <c r="N126" i="3" s="1"/>
  <c r="K123" i="3"/>
  <c r="K125" i="3"/>
  <c r="K124" i="3"/>
  <c r="N124" i="3" s="1"/>
  <c r="K119" i="3"/>
  <c r="K121" i="3"/>
  <c r="K118" i="3"/>
  <c r="N118" i="3" s="1"/>
  <c r="K120" i="3"/>
  <c r="N120" i="3" s="1"/>
  <c r="K122" i="3"/>
  <c r="N122" i="3" s="1"/>
  <c r="K117" i="3"/>
  <c r="K38" i="3"/>
  <c r="N38" i="3" s="1"/>
  <c r="K36" i="3"/>
  <c r="N36" i="3" s="1"/>
  <c r="K34" i="3"/>
  <c r="N34" i="3" s="1"/>
  <c r="K32" i="3"/>
  <c r="N32" i="3" s="1"/>
  <c r="K37" i="3"/>
  <c r="K35" i="3"/>
  <c r="K33" i="3"/>
  <c r="K31" i="3"/>
  <c r="K111" i="4"/>
  <c r="N111" i="4" s="1"/>
  <c r="K110" i="4"/>
  <c r="N110" i="4" s="1"/>
  <c r="K109" i="4"/>
  <c r="K105" i="4"/>
  <c r="N105" i="4" s="1"/>
  <c r="K104" i="4"/>
  <c r="N104" i="4" s="1"/>
  <c r="K103" i="4"/>
  <c r="K107" i="3"/>
  <c r="N107" i="3" s="1"/>
  <c r="K105" i="3"/>
  <c r="N105" i="3" s="1"/>
  <c r="K103" i="3"/>
  <c r="N103" i="3" s="1"/>
  <c r="K101" i="3"/>
  <c r="N101" i="3" s="1"/>
  <c r="K106" i="3"/>
  <c r="K104" i="3"/>
  <c r="K102" i="3"/>
  <c r="K100" i="3"/>
  <c r="K160" i="3"/>
  <c r="K159" i="3"/>
  <c r="K163" i="5"/>
  <c r="N163" i="5" s="1"/>
  <c r="K164" i="5"/>
  <c r="N164" i="5" s="1"/>
  <c r="K195" i="4"/>
  <c r="N195" i="4" s="1"/>
  <c r="K182" i="4"/>
  <c r="K186" i="4"/>
  <c r="K190" i="4"/>
  <c r="K194" i="4"/>
  <c r="K183" i="4"/>
  <c r="K187" i="4"/>
  <c r="K191" i="4"/>
  <c r="K196" i="4"/>
  <c r="K189" i="4"/>
  <c r="K184" i="4"/>
  <c r="K188" i="4"/>
  <c r="K192" i="4"/>
  <c r="K185" i="4"/>
  <c r="K193" i="4"/>
  <c r="N149" i="5" l="1"/>
  <c r="N151" i="5"/>
  <c r="N153" i="5"/>
  <c r="N155" i="5"/>
  <c r="N131" i="5"/>
  <c r="N121" i="5"/>
  <c r="N129" i="5"/>
  <c r="N119" i="5"/>
  <c r="N123" i="5"/>
  <c r="N125" i="5"/>
  <c r="N127" i="5"/>
  <c r="N102" i="5"/>
  <c r="N106" i="5"/>
  <c r="N108" i="5"/>
  <c r="N104" i="5"/>
  <c r="N112" i="5"/>
  <c r="N114" i="5"/>
  <c r="N110" i="5"/>
  <c r="N82" i="5"/>
  <c r="N78" i="5"/>
  <c r="N68" i="5"/>
  <c r="N74" i="5"/>
  <c r="N76" i="5"/>
  <c r="N80" i="5"/>
  <c r="N66" i="5"/>
  <c r="N70" i="5"/>
  <c r="N60" i="5"/>
  <c r="N62" i="5"/>
  <c r="N72" i="5"/>
  <c r="N64" i="5"/>
  <c r="N34" i="5"/>
  <c r="N30" i="5"/>
  <c r="N32" i="5"/>
  <c r="N36" i="5"/>
  <c r="N21" i="5"/>
  <c r="N25" i="5"/>
  <c r="N19" i="5"/>
  <c r="N23" i="5"/>
  <c r="N143" i="4"/>
  <c r="N149" i="4"/>
  <c r="N140" i="4"/>
  <c r="N137" i="4"/>
  <c r="N146" i="4"/>
  <c r="N134" i="4"/>
  <c r="N114" i="4"/>
  <c r="N129" i="4"/>
  <c r="N120" i="4"/>
  <c r="N117" i="4"/>
  <c r="N126" i="4"/>
  <c r="N123" i="4"/>
  <c r="N33" i="4"/>
  <c r="N54" i="4"/>
  <c r="N51" i="4"/>
  <c r="N57" i="4"/>
  <c r="N30" i="4"/>
  <c r="N45" i="4"/>
  <c r="N48" i="4"/>
  <c r="N42" i="4"/>
  <c r="N39" i="4"/>
  <c r="N36" i="4"/>
  <c r="N83" i="4"/>
  <c r="N89" i="4"/>
  <c r="N77" i="4"/>
  <c r="N86" i="4"/>
  <c r="N74" i="4"/>
  <c r="N62" i="4"/>
  <c r="N65" i="4"/>
  <c r="N80" i="4"/>
  <c r="N68" i="4"/>
  <c r="N71" i="4"/>
  <c r="N93" i="3"/>
  <c r="N10" i="3"/>
  <c r="N62" i="3"/>
  <c r="N91" i="3"/>
  <c r="N89" i="3"/>
  <c r="N81" i="3"/>
  <c r="N87" i="3"/>
  <c r="N83" i="3"/>
  <c r="N85" i="3"/>
  <c r="N125" i="3"/>
  <c r="N123" i="3"/>
  <c r="N117" i="3"/>
  <c r="N121" i="3"/>
  <c r="N119" i="3"/>
  <c r="N31" i="3"/>
  <c r="N33" i="3"/>
  <c r="N35" i="3"/>
  <c r="N37" i="3"/>
  <c r="N109" i="4"/>
  <c r="N103" i="4"/>
  <c r="N100" i="3"/>
  <c r="N104" i="3"/>
  <c r="N102" i="3"/>
  <c r="N106" i="3"/>
  <c r="K10" i="4"/>
  <c r="K166" i="5" l="1"/>
  <c r="K165" i="5"/>
  <c r="K167" i="5"/>
  <c r="K169" i="5"/>
  <c r="K171" i="5"/>
  <c r="K172" i="5"/>
  <c r="K168" i="5"/>
  <c r="K170" i="5"/>
  <c r="N169" i="5" l="1"/>
  <c r="N167" i="5"/>
  <c r="N170" i="5"/>
  <c r="N172" i="5"/>
  <c r="N165" i="5"/>
  <c r="N168" i="5"/>
  <c r="N171" i="5"/>
  <c r="N166" i="5"/>
  <c r="K201" i="4" l="1"/>
  <c r="N201" i="4" l="1"/>
  <c r="N165" i="3"/>
  <c r="N130" i="3"/>
  <c r="A184" i="5" l="1"/>
  <c r="A186" i="5"/>
  <c r="A187" i="5"/>
  <c r="A188" i="5"/>
  <c r="A189" i="5"/>
  <c r="K54" i="5"/>
  <c r="K11" i="5"/>
  <c r="K15" i="5"/>
  <c r="K90" i="5"/>
  <c r="K94" i="5"/>
  <c r="K98" i="5"/>
  <c r="K137" i="5"/>
  <c r="K141" i="5"/>
  <c r="K145" i="5"/>
  <c r="K161" i="5"/>
  <c r="K175" i="5"/>
  <c r="K179" i="5"/>
  <c r="N161" i="5" l="1"/>
  <c r="N137" i="5"/>
  <c r="N15" i="5"/>
  <c r="N90" i="5"/>
  <c r="N11" i="5"/>
  <c r="N141" i="5"/>
  <c r="N145" i="5"/>
  <c r="N98" i="5"/>
  <c r="N179" i="5"/>
  <c r="N94" i="5"/>
  <c r="N54" i="5"/>
  <c r="K181" i="5"/>
  <c r="K177" i="5"/>
  <c r="K173" i="5"/>
  <c r="K159" i="5"/>
  <c r="K147" i="5"/>
  <c r="K143" i="5"/>
  <c r="K139" i="5"/>
  <c r="K135" i="5"/>
  <c r="K96" i="5"/>
  <c r="K92" i="5"/>
  <c r="K88" i="5"/>
  <c r="K13" i="5"/>
  <c r="K56" i="5"/>
  <c r="K52" i="5"/>
  <c r="K182" i="5"/>
  <c r="K180" i="5"/>
  <c r="K178" i="5"/>
  <c r="K176" i="5"/>
  <c r="K174" i="5"/>
  <c r="K162" i="5"/>
  <c r="K160" i="5"/>
  <c r="K146" i="5"/>
  <c r="K144" i="5"/>
  <c r="K142" i="5"/>
  <c r="K140" i="5"/>
  <c r="K138" i="5"/>
  <c r="K136" i="5"/>
  <c r="K134" i="5"/>
  <c r="K97" i="5"/>
  <c r="K95" i="5"/>
  <c r="K93" i="5"/>
  <c r="K91" i="5"/>
  <c r="K89" i="5"/>
  <c r="K87" i="5"/>
  <c r="K14" i="5"/>
  <c r="K12" i="5"/>
  <c r="K10" i="5"/>
  <c r="K55" i="5"/>
  <c r="K53" i="5"/>
  <c r="K51" i="5"/>
  <c r="N175" i="5"/>
  <c r="N87" i="5" l="1"/>
  <c r="N159" i="5"/>
  <c r="N10" i="5"/>
  <c r="N89" i="5"/>
  <c r="N97" i="5"/>
  <c r="N140" i="5"/>
  <c r="N144" i="5"/>
  <c r="N174" i="5"/>
  <c r="N182" i="5"/>
  <c r="N52" i="5"/>
  <c r="N92" i="5"/>
  <c r="N143" i="5"/>
  <c r="N173" i="5"/>
  <c r="N55" i="5"/>
  <c r="N138" i="5"/>
  <c r="N180" i="5"/>
  <c r="N139" i="5"/>
  <c r="N91" i="5"/>
  <c r="N142" i="5"/>
  <c r="N176" i="5"/>
  <c r="N56" i="5"/>
  <c r="N96" i="5"/>
  <c r="N177" i="5"/>
  <c r="N95" i="5"/>
  <c r="N162" i="5"/>
  <c r="N88" i="5"/>
  <c r="N51" i="5"/>
  <c r="N12" i="5"/>
  <c r="N134" i="5"/>
  <c r="N146" i="5"/>
  <c r="N53" i="5"/>
  <c r="N14" i="5"/>
  <c r="N93" i="5"/>
  <c r="N136" i="5"/>
  <c r="N160" i="5"/>
  <c r="N178" i="5"/>
  <c r="N13" i="5"/>
  <c r="N135" i="5"/>
  <c r="N147" i="5"/>
  <c r="N181" i="5"/>
  <c r="K3" i="5" l="1"/>
  <c r="N182" i="4"/>
  <c r="N183" i="4"/>
  <c r="N184" i="4"/>
  <c r="N185" i="4"/>
  <c r="N186" i="4"/>
  <c r="N187" i="4"/>
  <c r="N188" i="4"/>
  <c r="N189" i="4"/>
  <c r="N190" i="4"/>
  <c r="K35" i="6" l="1"/>
  <c r="K36" i="6"/>
  <c r="K45" i="6"/>
  <c r="K41" i="6"/>
  <c r="K37" i="6"/>
  <c r="K42" i="6"/>
  <c r="K38" i="6"/>
  <c r="K31" i="6"/>
  <c r="K34" i="6"/>
  <c r="K33" i="6"/>
  <c r="K43" i="6"/>
  <c r="K39" i="6"/>
  <c r="K32" i="6"/>
  <c r="K44" i="6"/>
  <c r="N33" i="6" l="1"/>
  <c r="N36" i="6"/>
  <c r="N31" i="6"/>
  <c r="N32" i="6"/>
  <c r="N34" i="6"/>
  <c r="N35" i="6"/>
  <c r="N43" i="6"/>
  <c r="N42" i="6"/>
  <c r="N41" i="6"/>
  <c r="N44" i="6"/>
  <c r="N39" i="6"/>
  <c r="N38" i="6"/>
  <c r="N37" i="6"/>
  <c r="N45" i="6"/>
  <c r="I62" i="10" l="1"/>
  <c r="L62" i="10" s="1"/>
  <c r="I61" i="10"/>
  <c r="L61" i="10" s="1"/>
  <c r="I58" i="10"/>
  <c r="L58" i="10" s="1"/>
  <c r="I59" i="10"/>
  <c r="L59" i="10" s="1"/>
  <c r="I60" i="10"/>
  <c r="L60" i="10" s="1"/>
  <c r="I46" i="10"/>
  <c r="L46" i="10" s="1"/>
  <c r="I47" i="10"/>
  <c r="L47" i="10" s="1"/>
  <c r="I43" i="10"/>
  <c r="L43" i="10" s="1"/>
  <c r="I45" i="10"/>
  <c r="L45" i="10" s="1"/>
  <c r="I44" i="10"/>
  <c r="L44" i="10" s="1"/>
  <c r="I30" i="10"/>
  <c r="L30" i="10" s="1"/>
  <c r="I29" i="10"/>
  <c r="L29" i="10" s="1"/>
  <c r="I28" i="10"/>
  <c r="L28" i="10" s="1"/>
  <c r="I27" i="10"/>
  <c r="L27" i="10" s="1"/>
  <c r="I31" i="10"/>
  <c r="L31" i="10" s="1"/>
  <c r="I32" i="10"/>
  <c r="L32" i="10" s="1"/>
  <c r="I16" i="10"/>
  <c r="L16" i="10" s="1"/>
  <c r="I14" i="10"/>
  <c r="L14" i="10" s="1"/>
  <c r="I15" i="10"/>
  <c r="L15" i="10" s="1"/>
  <c r="I202" i="10"/>
  <c r="L202" i="10" s="1"/>
  <c r="I201" i="10"/>
  <c r="I200" i="10"/>
  <c r="L200" i="10" s="1"/>
  <c r="I199" i="10"/>
  <c r="I198" i="10"/>
  <c r="L198" i="10" s="1"/>
  <c r="I197" i="10"/>
  <c r="I196" i="10"/>
  <c r="L196" i="10" s="1"/>
  <c r="I195" i="10"/>
  <c r="I194" i="10"/>
  <c r="L194" i="10" s="1"/>
  <c r="I193" i="10"/>
  <c r="I192" i="10"/>
  <c r="L192" i="10" s="1"/>
  <c r="I191" i="10"/>
  <c r="I190" i="10"/>
  <c r="L190" i="10" s="1"/>
  <c r="I189" i="10"/>
  <c r="I288" i="10"/>
  <c r="L288" i="10" s="1"/>
  <c r="I289" i="10"/>
  <c r="L289" i="10" s="1"/>
  <c r="I286" i="10"/>
  <c r="L286" i="10" s="1"/>
  <c r="I287" i="10"/>
  <c r="L287" i="10" s="1"/>
  <c r="I285" i="10"/>
  <c r="L285" i="10" s="1"/>
  <c r="I284" i="10"/>
  <c r="L284" i="10" s="1"/>
  <c r="I273" i="10"/>
  <c r="L273" i="10" s="1"/>
  <c r="I270" i="10"/>
  <c r="L270" i="10" s="1"/>
  <c r="I272" i="10"/>
  <c r="L272" i="10" s="1"/>
  <c r="I271" i="10"/>
  <c r="L271" i="10" s="1"/>
  <c r="I250" i="10"/>
  <c r="L250" i="10" s="1"/>
  <c r="I246" i="10"/>
  <c r="L246" i="10" s="1"/>
  <c r="I248" i="10"/>
  <c r="L248" i="10" s="1"/>
  <c r="I247" i="10"/>
  <c r="L247" i="10" s="1"/>
  <c r="I249" i="10"/>
  <c r="L249" i="10" s="1"/>
  <c r="I245" i="10"/>
  <c r="L245" i="10" s="1"/>
  <c r="I269" i="10"/>
  <c r="L269" i="10" s="1"/>
  <c r="I265" i="10"/>
  <c r="L265" i="10" s="1"/>
  <c r="I268" i="10"/>
  <c r="L268" i="10" s="1"/>
  <c r="I264" i="10"/>
  <c r="L264" i="10" s="1"/>
  <c r="I267" i="10"/>
  <c r="L267" i="10" s="1"/>
  <c r="I263" i="10"/>
  <c r="L263" i="10" s="1"/>
  <c r="I266" i="10"/>
  <c r="L266" i="10" s="1"/>
  <c r="I144" i="10"/>
  <c r="L144" i="10" s="1"/>
  <c r="I141" i="10"/>
  <c r="I140" i="10"/>
  <c r="L140" i="10" s="1"/>
  <c r="I137" i="10"/>
  <c r="I136" i="10"/>
  <c r="L136" i="10" s="1"/>
  <c r="I143" i="10"/>
  <c r="I142" i="10"/>
  <c r="L142" i="10" s="1"/>
  <c r="I139" i="10"/>
  <c r="I138" i="10"/>
  <c r="L138" i="10" s="1"/>
  <c r="I135" i="10"/>
  <c r="I122" i="10"/>
  <c r="L122" i="10" s="1"/>
  <c r="I118" i="10"/>
  <c r="L118" i="10" s="1"/>
  <c r="I119" i="10"/>
  <c r="L119" i="10" s="1"/>
  <c r="I121" i="10"/>
  <c r="L121" i="10" s="1"/>
  <c r="I120" i="10"/>
  <c r="L120" i="10" s="1"/>
  <c r="I185" i="10"/>
  <c r="I181" i="10"/>
  <c r="I179" i="10"/>
  <c r="I177" i="10"/>
  <c r="I173" i="10"/>
  <c r="I171" i="10"/>
  <c r="I167" i="10"/>
  <c r="I170" i="10"/>
  <c r="L170" i="10" s="1"/>
  <c r="I178" i="10"/>
  <c r="L178" i="10" s="1"/>
  <c r="I175" i="10"/>
  <c r="I182" i="10"/>
  <c r="L182" i="10" s="1"/>
  <c r="I174" i="10"/>
  <c r="L174" i="10" s="1"/>
  <c r="I168" i="10"/>
  <c r="L168" i="10" s="1"/>
  <c r="I184" i="10"/>
  <c r="L184" i="10" s="1"/>
  <c r="I176" i="10"/>
  <c r="L176" i="10" s="1"/>
  <c r="I183" i="10"/>
  <c r="I180" i="10"/>
  <c r="L180" i="10" s="1"/>
  <c r="I172" i="10"/>
  <c r="L172" i="10" s="1"/>
  <c r="I169" i="10"/>
  <c r="I186" i="10"/>
  <c r="L186" i="10" s="1"/>
  <c r="I110" i="10"/>
  <c r="L110" i="10" s="1"/>
  <c r="I108" i="10"/>
  <c r="L108" i="10" s="1"/>
  <c r="I106" i="10"/>
  <c r="L106" i="10" s="1"/>
  <c r="I104" i="10"/>
  <c r="L104" i="10" s="1"/>
  <c r="I102" i="10"/>
  <c r="L102" i="10" s="1"/>
  <c r="I109" i="10"/>
  <c r="I101" i="10"/>
  <c r="I107" i="10"/>
  <c r="I105" i="10"/>
  <c r="I103" i="10"/>
  <c r="I88" i="10"/>
  <c r="L88" i="10" s="1"/>
  <c r="I84" i="10"/>
  <c r="L84" i="10" s="1"/>
  <c r="I83" i="10"/>
  <c r="L83" i="10" s="1"/>
  <c r="I86" i="10"/>
  <c r="L86" i="10" s="1"/>
  <c r="I82" i="10"/>
  <c r="L82" i="10" s="1"/>
  <c r="I87" i="10"/>
  <c r="L87" i="10" s="1"/>
  <c r="I85" i="10"/>
  <c r="L85" i="10" s="1"/>
  <c r="I307" i="10"/>
  <c r="L307" i="10" s="1"/>
  <c r="I303" i="10"/>
  <c r="L303" i="10" s="1"/>
  <c r="I306" i="10"/>
  <c r="L306" i="10" s="1"/>
  <c r="I302" i="10"/>
  <c r="L302" i="10" s="1"/>
  <c r="I304" i="10"/>
  <c r="L304" i="10" s="1"/>
  <c r="I300" i="10"/>
  <c r="L300" i="10" s="1"/>
  <c r="I305" i="10"/>
  <c r="L305" i="10" s="1"/>
  <c r="I301" i="10"/>
  <c r="L301" i="10" s="1"/>
  <c r="J330" i="10"/>
  <c r="L330" i="10"/>
  <c r="J344" i="10"/>
  <c r="L339" i="10"/>
  <c r="J339" i="10"/>
  <c r="L344" i="10"/>
  <c r="J340" i="10"/>
  <c r="L340" i="10"/>
  <c r="L331" i="10"/>
  <c r="L353" i="10"/>
  <c r="J353" i="10"/>
  <c r="J331" i="10"/>
  <c r="L312" i="10"/>
  <c r="J314" i="10"/>
  <c r="J315" i="10"/>
  <c r="I282" i="10"/>
  <c r="I149" i="10"/>
  <c r="I153" i="10"/>
  <c r="I157" i="10"/>
  <c r="I161" i="10"/>
  <c r="I165" i="10"/>
  <c r="I128" i="10"/>
  <c r="I132" i="10"/>
  <c r="I150" i="10"/>
  <c r="I154" i="10"/>
  <c r="I158" i="10"/>
  <c r="I162" i="10"/>
  <c r="I166" i="10"/>
  <c r="I129" i="10"/>
  <c r="I133" i="10"/>
  <c r="I151" i="10"/>
  <c r="I155" i="10"/>
  <c r="I159" i="10"/>
  <c r="I163" i="10"/>
  <c r="I126" i="10"/>
  <c r="I130" i="10"/>
  <c r="I134" i="10"/>
  <c r="I152" i="10"/>
  <c r="I164" i="10"/>
  <c r="I147" i="10"/>
  <c r="I156" i="10"/>
  <c r="I160" i="10"/>
  <c r="I127" i="10"/>
  <c r="I148" i="10"/>
  <c r="I131" i="10"/>
  <c r="I100" i="10"/>
  <c r="I99" i="10"/>
  <c r="I98" i="10"/>
  <c r="I97" i="10"/>
  <c r="I38" i="10"/>
  <c r="I39" i="10"/>
  <c r="I125" i="10"/>
  <c r="I116" i="10"/>
  <c r="I113" i="10"/>
  <c r="I115" i="10"/>
  <c r="I114" i="10"/>
  <c r="I117" i="10"/>
  <c r="I96" i="10"/>
  <c r="I94" i="10"/>
  <c r="I92" i="10"/>
  <c r="I95" i="10"/>
  <c r="I93" i="10"/>
  <c r="I91" i="10"/>
  <c r="I81" i="10"/>
  <c r="I80" i="10"/>
  <c r="I76" i="10"/>
  <c r="I74" i="10"/>
  <c r="I73" i="10"/>
  <c r="I79" i="10"/>
  <c r="I75" i="10"/>
  <c r="I78" i="10"/>
  <c r="I77" i="10"/>
  <c r="J409" i="10"/>
  <c r="J405" i="10"/>
  <c r="J404" i="10"/>
  <c r="J402" i="10"/>
  <c r="J399" i="10"/>
  <c r="J398" i="10"/>
  <c r="J393" i="10"/>
  <c r="J392" i="10"/>
  <c r="J389" i="10"/>
  <c r="J388" i="10"/>
  <c r="J384" i="10"/>
  <c r="J382" i="10"/>
  <c r="J380" i="10"/>
  <c r="L380" i="10" s="1"/>
  <c r="J378" i="10"/>
  <c r="L378" i="10" s="1"/>
  <c r="J375" i="10"/>
  <c r="J374" i="10"/>
  <c r="J371" i="10"/>
  <c r="J370" i="10"/>
  <c r="J367" i="10"/>
  <c r="J364" i="10"/>
  <c r="J363" i="10"/>
  <c r="J361" i="10"/>
  <c r="J358" i="10"/>
  <c r="J356" i="10"/>
  <c r="J355" i="10"/>
  <c r="J352" i="10"/>
  <c r="J349" i="10"/>
  <c r="J347" i="10"/>
  <c r="J346" i="10"/>
  <c r="J343" i="10"/>
  <c r="J338" i="10"/>
  <c r="J336" i="10"/>
  <c r="J407" i="10"/>
  <c r="J401" i="10"/>
  <c r="J396" i="10"/>
  <c r="J386" i="10"/>
  <c r="L386" i="10" s="1"/>
  <c r="J381" i="10"/>
  <c r="J377" i="10"/>
  <c r="J373" i="10"/>
  <c r="J368" i="10"/>
  <c r="L368" i="10" s="1"/>
  <c r="J360" i="10"/>
  <c r="J357" i="10"/>
  <c r="J354" i="10"/>
  <c r="J350" i="10"/>
  <c r="L350" i="10" s="1"/>
  <c r="J342" i="10"/>
  <c r="J337" i="10"/>
  <c r="J335" i="10"/>
  <c r="J333" i="10"/>
  <c r="J329" i="10"/>
  <c r="J326" i="10"/>
  <c r="J324" i="10"/>
  <c r="J323" i="10"/>
  <c r="J321" i="10"/>
  <c r="J318" i="10"/>
  <c r="J316" i="10"/>
  <c r="J313" i="10"/>
  <c r="L313" i="10" s="1"/>
  <c r="J408" i="10"/>
  <c r="J406" i="10"/>
  <c r="J403" i="10"/>
  <c r="J400" i="10"/>
  <c r="J397" i="10"/>
  <c r="J394" i="10"/>
  <c r="J391" i="10"/>
  <c r="J387" i="10"/>
  <c r="L387" i="10" s="1"/>
  <c r="J383" i="10"/>
  <c r="J379" i="10"/>
  <c r="J372" i="10"/>
  <c r="J369" i="10"/>
  <c r="L369" i="10" s="1"/>
  <c r="J365" i="10"/>
  <c r="J362" i="10"/>
  <c r="J359" i="10"/>
  <c r="J351" i="10"/>
  <c r="L351" i="10" s="1"/>
  <c r="J348" i="10"/>
  <c r="J345" i="10"/>
  <c r="J341" i="10"/>
  <c r="J334" i="10"/>
  <c r="J332" i="10"/>
  <c r="J328" i="10"/>
  <c r="J327" i="10"/>
  <c r="J325" i="10"/>
  <c r="J322" i="10"/>
  <c r="J319" i="10"/>
  <c r="J312" i="10"/>
  <c r="J320" i="10"/>
  <c r="J317" i="10"/>
  <c r="I24" i="10"/>
  <c r="I22" i="10"/>
  <c r="I23" i="10"/>
  <c r="N133" i="3"/>
  <c r="N135" i="3"/>
  <c r="N131" i="3"/>
  <c r="I244" i="10"/>
  <c r="I241" i="10"/>
  <c r="I240" i="10"/>
  <c r="I243" i="10"/>
  <c r="I242" i="10"/>
  <c r="I239" i="10"/>
  <c r="I37" i="10"/>
  <c r="I36" i="10"/>
  <c r="I35" i="10"/>
  <c r="I20" i="10"/>
  <c r="I19" i="10"/>
  <c r="I21" i="10"/>
  <c r="L355" i="10" l="1"/>
  <c r="L335" i="10"/>
  <c r="L333" i="10"/>
  <c r="L354" i="10"/>
  <c r="L328" i="10"/>
  <c r="L377" i="10"/>
  <c r="L361" i="10"/>
  <c r="L324" i="10"/>
  <c r="L399" i="10"/>
  <c r="L197" i="10"/>
  <c r="L327" i="10"/>
  <c r="L393" i="10"/>
  <c r="L409" i="10"/>
  <c r="L193" i="10"/>
  <c r="L199" i="10"/>
  <c r="L191" i="10"/>
  <c r="L189" i="10"/>
  <c r="L195" i="10"/>
  <c r="L201" i="10"/>
  <c r="L137" i="10"/>
  <c r="J137" i="10"/>
  <c r="L139" i="10"/>
  <c r="J139" i="10"/>
  <c r="L135" i="10"/>
  <c r="J135" i="10"/>
  <c r="L143" i="10"/>
  <c r="J143" i="10"/>
  <c r="L141" i="10"/>
  <c r="J141" i="10"/>
  <c r="L169" i="10"/>
  <c r="J169" i="10"/>
  <c r="L167" i="10"/>
  <c r="J167" i="10"/>
  <c r="J175" i="10"/>
  <c r="L175" i="10"/>
  <c r="L171" i="10"/>
  <c r="J171" i="10"/>
  <c r="L181" i="10"/>
  <c r="J181" i="10"/>
  <c r="J183" i="10"/>
  <c r="L183" i="10"/>
  <c r="L177" i="10"/>
  <c r="J177" i="10"/>
  <c r="L179" i="10"/>
  <c r="J179" i="10"/>
  <c r="J173" i="10"/>
  <c r="L173" i="10"/>
  <c r="J185" i="10"/>
  <c r="L185" i="10"/>
  <c r="L101" i="10"/>
  <c r="J101" i="10"/>
  <c r="J103" i="10"/>
  <c r="L103" i="10"/>
  <c r="J109" i="10"/>
  <c r="L109" i="10"/>
  <c r="L107" i="10"/>
  <c r="J107" i="10"/>
  <c r="L105" i="10"/>
  <c r="J105" i="10"/>
  <c r="L334" i="10"/>
  <c r="L400" i="10"/>
  <c r="L347" i="10"/>
  <c r="L364" i="10"/>
  <c r="L374" i="10"/>
  <c r="L382" i="10"/>
  <c r="L358" i="10"/>
  <c r="L375" i="10"/>
  <c r="L394" i="10"/>
  <c r="L406" i="10"/>
  <c r="L326" i="10"/>
  <c r="L401" i="10"/>
  <c r="L343" i="10"/>
  <c r="L352" i="10"/>
  <c r="L398" i="10"/>
  <c r="L314" i="10"/>
  <c r="L338" i="10"/>
  <c r="L322" i="10"/>
  <c r="L321" i="10"/>
  <c r="L381" i="10"/>
  <c r="L407" i="10"/>
  <c r="L346" i="10"/>
  <c r="L363" i="10"/>
  <c r="L371" i="10"/>
  <c r="L389" i="10"/>
  <c r="L397" i="10"/>
  <c r="L360" i="10"/>
  <c r="L325" i="10"/>
  <c r="L323" i="10"/>
  <c r="L383" i="10"/>
  <c r="L342" i="10"/>
  <c r="L320" i="10"/>
  <c r="L341" i="10"/>
  <c r="L359" i="10"/>
  <c r="L316" i="10"/>
  <c r="L396" i="10"/>
  <c r="L345" i="10"/>
  <c r="L362" i="10"/>
  <c r="L337" i="10"/>
  <c r="L357" i="10"/>
  <c r="L404" i="10"/>
  <c r="L317" i="10"/>
  <c r="L332" i="10"/>
  <c r="L365" i="10"/>
  <c r="L408" i="10"/>
  <c r="L388" i="10"/>
  <c r="L405" i="10"/>
  <c r="L79" i="10"/>
  <c r="L134" i="10"/>
  <c r="L154" i="10"/>
  <c r="L19" i="10"/>
  <c r="L37" i="10"/>
  <c r="L24" i="10"/>
  <c r="L372" i="10"/>
  <c r="L391" i="10"/>
  <c r="L403" i="10"/>
  <c r="L373" i="10"/>
  <c r="L336" i="10"/>
  <c r="L356" i="10"/>
  <c r="L392" i="10"/>
  <c r="L402" i="10"/>
  <c r="L77" i="10"/>
  <c r="L73" i="10"/>
  <c r="L81" i="10"/>
  <c r="J91" i="10"/>
  <c r="L114" i="10"/>
  <c r="J97" i="10"/>
  <c r="L148" i="10"/>
  <c r="L130" i="10"/>
  <c r="L166" i="10"/>
  <c r="L150" i="10"/>
  <c r="L282" i="10"/>
  <c r="L36" i="10"/>
  <c r="L80" i="10"/>
  <c r="L117" i="10"/>
  <c r="L156" i="10"/>
  <c r="L379" i="10"/>
  <c r="L318" i="10"/>
  <c r="L349" i="10"/>
  <c r="L367" i="10"/>
  <c r="L384" i="10"/>
  <c r="L78" i="10"/>
  <c r="L74" i="10"/>
  <c r="L94" i="10"/>
  <c r="L115" i="10"/>
  <c r="L39" i="10"/>
  <c r="L164" i="10"/>
  <c r="L126" i="10"/>
  <c r="L162" i="10"/>
  <c r="L132" i="10"/>
  <c r="L315" i="10"/>
  <c r="L21" i="10"/>
  <c r="L22" i="10"/>
  <c r="L116" i="10"/>
  <c r="L20" i="10"/>
  <c r="L319" i="10"/>
  <c r="L35" i="10"/>
  <c r="L23" i="10"/>
  <c r="L348" i="10"/>
  <c r="L329" i="10"/>
  <c r="L370" i="10"/>
  <c r="L75" i="10"/>
  <c r="L76" i="10"/>
  <c r="J95" i="10"/>
  <c r="L113" i="10"/>
  <c r="L38" i="10"/>
  <c r="L100" i="10"/>
  <c r="L160" i="10"/>
  <c r="L152" i="10"/>
  <c r="L158" i="10"/>
  <c r="L128" i="10"/>
  <c r="N169" i="3"/>
  <c r="N167" i="3"/>
  <c r="N168" i="3"/>
  <c r="N173" i="3"/>
  <c r="N174" i="3"/>
  <c r="N166" i="3"/>
  <c r="N140" i="3"/>
  <c r="N170" i="3"/>
  <c r="N142" i="3"/>
  <c r="N171" i="3"/>
  <c r="N172" i="3"/>
  <c r="L99" i="10"/>
  <c r="L97" i="10"/>
  <c r="L125" i="10"/>
  <c r="L91" i="10"/>
  <c r="L95" i="10"/>
  <c r="L93" i="10"/>
  <c r="N179" i="3"/>
  <c r="N175" i="3"/>
  <c r="N180" i="3"/>
  <c r="N182" i="3"/>
  <c r="N177" i="3"/>
  <c r="N183" i="3"/>
  <c r="N178" i="3"/>
  <c r="N176" i="3"/>
  <c r="N181" i="3"/>
  <c r="N184" i="3"/>
  <c r="L239" i="10"/>
  <c r="L242" i="10"/>
  <c r="L244" i="10"/>
  <c r="L243" i="10"/>
  <c r="L241" i="10"/>
  <c r="L240" i="10"/>
  <c r="N132" i="3"/>
  <c r="N134" i="3"/>
  <c r="N139" i="3"/>
  <c r="N141" i="3"/>
  <c r="L159" i="10" l="1"/>
  <c r="J159" i="10"/>
  <c r="L127" i="10"/>
  <c r="J127" i="10"/>
  <c r="L131" i="10"/>
  <c r="J131" i="10"/>
  <c r="L151" i="10"/>
  <c r="J151" i="10"/>
  <c r="L155" i="10"/>
  <c r="J155" i="10"/>
  <c r="L133" i="10"/>
  <c r="J133" i="10"/>
  <c r="L157" i="10"/>
  <c r="J157" i="10"/>
  <c r="L161" i="10"/>
  <c r="J161" i="10"/>
  <c r="L129" i="10"/>
  <c r="J129" i="10"/>
  <c r="L153" i="10"/>
  <c r="J153" i="10"/>
  <c r="L163" i="10"/>
  <c r="J163" i="10"/>
  <c r="L165" i="10"/>
  <c r="J165" i="10"/>
  <c r="L149" i="10"/>
  <c r="J149" i="10"/>
  <c r="L147" i="10"/>
  <c r="J147" i="10"/>
  <c r="J125" i="10"/>
  <c r="J99" i="10"/>
  <c r="L96" i="10"/>
  <c r="J93" i="10"/>
  <c r="L98" i="10"/>
  <c r="L92" i="10"/>
  <c r="K150" i="3" l="1"/>
  <c r="A52" i="6"/>
  <c r="A51" i="6"/>
  <c r="A50" i="6"/>
  <c r="A49" i="6"/>
  <c r="A47" i="6"/>
  <c r="A207" i="4"/>
  <c r="A209" i="4"/>
  <c r="A210" i="4"/>
  <c r="A212" i="4"/>
  <c r="C14" i="2"/>
  <c r="K55" i="3"/>
  <c r="I298" i="10"/>
  <c r="I53" i="10"/>
  <c r="I255" i="10"/>
  <c r="I295" i="10"/>
  <c r="I205" i="10"/>
  <c r="I235" i="10"/>
  <c r="I279" i="10"/>
  <c r="I212" i="10"/>
  <c r="I297" i="10"/>
  <c r="I221" i="10"/>
  <c r="I280" i="10"/>
  <c r="I10" i="10"/>
  <c r="I204" i="10"/>
  <c r="I210" i="10"/>
  <c r="I54" i="10"/>
  <c r="I11" i="10"/>
  <c r="I51" i="10"/>
  <c r="I257" i="10"/>
  <c r="I254" i="10"/>
  <c r="I214" i="10"/>
  <c r="L204" i="10" l="1"/>
  <c r="L298" i="10"/>
  <c r="L214" i="10"/>
  <c r="L11" i="10"/>
  <c r="L10" i="10"/>
  <c r="L212" i="10"/>
  <c r="L295" i="10"/>
  <c r="L54" i="10"/>
  <c r="L279" i="10"/>
  <c r="L255" i="10"/>
  <c r="L51" i="10"/>
  <c r="L205" i="10"/>
  <c r="L254" i="10"/>
  <c r="L280" i="10"/>
  <c r="L257" i="10"/>
  <c r="L210" i="10"/>
  <c r="L221" i="10"/>
  <c r="L235" i="10"/>
  <c r="L53" i="10"/>
  <c r="L297" i="10"/>
  <c r="D14" i="2"/>
  <c r="K205" i="4"/>
  <c r="K197" i="4"/>
  <c r="N193" i="4"/>
  <c r="K181" i="4"/>
  <c r="K179" i="4"/>
  <c r="K204" i="4"/>
  <c r="K203" i="4"/>
  <c r="K202" i="4"/>
  <c r="K200" i="4"/>
  <c r="N196" i="4"/>
  <c r="N192" i="4"/>
  <c r="K178" i="4"/>
  <c r="K177" i="4"/>
  <c r="N191" i="4"/>
  <c r="K199" i="4"/>
  <c r="K198" i="4"/>
  <c r="N194" i="4"/>
  <c r="K180" i="4"/>
  <c r="K12" i="4"/>
  <c r="K11" i="4"/>
  <c r="K27" i="4"/>
  <c r="K26" i="4"/>
  <c r="K24" i="4"/>
  <c r="K22" i="4"/>
  <c r="K25" i="4"/>
  <c r="K23" i="4"/>
  <c r="K20" i="4"/>
  <c r="K16" i="4"/>
  <c r="K15" i="4"/>
  <c r="K14" i="4"/>
  <c r="K21" i="4"/>
  <c r="K19" i="4"/>
  <c r="K18" i="4"/>
  <c r="K17" i="4"/>
  <c r="K13" i="4"/>
  <c r="K99" i="4"/>
  <c r="N55" i="3"/>
  <c r="N150" i="3"/>
  <c r="K18" i="3"/>
  <c r="K52" i="3"/>
  <c r="K43" i="3"/>
  <c r="K20" i="3"/>
  <c r="K158" i="3"/>
  <c r="K17" i="3"/>
  <c r="K169" i="4"/>
  <c r="K161" i="4"/>
  <c r="K107" i="4"/>
  <c r="K147" i="3"/>
  <c r="K42" i="3"/>
  <c r="K46" i="3"/>
  <c r="K110" i="3"/>
  <c r="K53" i="3"/>
  <c r="K113" i="3"/>
  <c r="K44" i="3"/>
  <c r="K156" i="3"/>
  <c r="K148" i="3"/>
  <c r="K151" i="3"/>
  <c r="K108" i="3"/>
  <c r="K54" i="3"/>
  <c r="K109" i="3"/>
  <c r="K111" i="3"/>
  <c r="K51" i="3"/>
  <c r="K58" i="3"/>
  <c r="K27" i="3"/>
  <c r="K57" i="3"/>
  <c r="K26" i="3"/>
  <c r="K19" i="3"/>
  <c r="K25" i="3"/>
  <c r="K149" i="3"/>
  <c r="K24" i="3"/>
  <c r="K56" i="3"/>
  <c r="K157" i="3"/>
  <c r="K155" i="3"/>
  <c r="K47" i="3"/>
  <c r="K112" i="3"/>
  <c r="K16" i="3"/>
  <c r="K45" i="3"/>
  <c r="K146" i="3"/>
  <c r="D17" i="2"/>
  <c r="D19" i="2" s="1"/>
  <c r="E17" i="2"/>
  <c r="E19" i="2" s="1"/>
  <c r="K154" i="4"/>
  <c r="K100" i="4"/>
  <c r="K96" i="4"/>
  <c r="K20" i="6"/>
  <c r="K12" i="6"/>
  <c r="D15" i="2"/>
  <c r="E15" i="2"/>
  <c r="K19" i="6"/>
  <c r="K16" i="6"/>
  <c r="K18" i="6"/>
  <c r="E12" i="2"/>
  <c r="D11" i="2"/>
  <c r="K155" i="4"/>
  <c r="K102" i="4"/>
  <c r="K173" i="4"/>
  <c r="I259" i="10"/>
  <c r="I261" i="10"/>
  <c r="I227" i="10"/>
  <c r="I262" i="10"/>
  <c r="I209" i="10"/>
  <c r="I233" i="10"/>
  <c r="I68" i="10"/>
  <c r="I253" i="10"/>
  <c r="I228" i="10"/>
  <c r="I232" i="10"/>
  <c r="I258" i="10"/>
  <c r="I223" i="10"/>
  <c r="I9" i="10"/>
  <c r="I281" i="10"/>
  <c r="I226" i="10"/>
  <c r="I215" i="10"/>
  <c r="I66" i="10"/>
  <c r="I220" i="10"/>
  <c r="I234" i="10"/>
  <c r="I293" i="10"/>
  <c r="I275" i="10"/>
  <c r="I69" i="10"/>
  <c r="I208" i="10"/>
  <c r="I216" i="10"/>
  <c r="I256" i="10"/>
  <c r="I278" i="10"/>
  <c r="I67" i="10"/>
  <c r="I252" i="10"/>
  <c r="I222" i="10"/>
  <c r="I219" i="10"/>
  <c r="I55" i="10"/>
  <c r="I203" i="10"/>
  <c r="I211" i="10"/>
  <c r="I260" i="10"/>
  <c r="I299" i="10"/>
  <c r="I294" i="10"/>
  <c r="I229" i="10"/>
  <c r="I207" i="10"/>
  <c r="I283" i="10"/>
  <c r="I276" i="10"/>
  <c r="I292" i="10"/>
  <c r="I70" i="10"/>
  <c r="I225" i="10"/>
  <c r="I277" i="10"/>
  <c r="I224" i="10"/>
  <c r="I236" i="10"/>
  <c r="I296" i="10"/>
  <c r="I231" i="10"/>
  <c r="I230" i="10"/>
  <c r="I213" i="10"/>
  <c r="I52" i="10"/>
  <c r="I206" i="10"/>
  <c r="I65" i="10"/>
  <c r="K22" i="6"/>
  <c r="K24" i="6"/>
  <c r="K23" i="6"/>
  <c r="K21" i="6"/>
  <c r="K26" i="6"/>
  <c r="K25" i="6"/>
  <c r="K9" i="6"/>
  <c r="K11" i="6"/>
  <c r="K15" i="6"/>
  <c r="K17" i="6"/>
  <c r="K10" i="6"/>
  <c r="K168" i="4"/>
  <c r="K95" i="4"/>
  <c r="K98" i="4"/>
  <c r="K163" i="4"/>
  <c r="K94" i="4"/>
  <c r="K165" i="4"/>
  <c r="K174" i="4"/>
  <c r="K172" i="4"/>
  <c r="K106" i="4"/>
  <c r="K157" i="4"/>
  <c r="K101" i="4"/>
  <c r="K166" i="4"/>
  <c r="K156" i="4"/>
  <c r="K159" i="4"/>
  <c r="K164" i="4"/>
  <c r="K171" i="4"/>
  <c r="K158" i="4"/>
  <c r="K108" i="4"/>
  <c r="K162" i="4"/>
  <c r="K97" i="4"/>
  <c r="K170" i="4"/>
  <c r="K167" i="4"/>
  <c r="K160" i="4"/>
  <c r="D13" i="2"/>
  <c r="E13" i="2"/>
  <c r="E14" i="2"/>
  <c r="E11" i="2"/>
  <c r="D12" i="2"/>
  <c r="L70" i="10" l="1"/>
  <c r="L260" i="10"/>
  <c r="L69" i="10"/>
  <c r="L233" i="10"/>
  <c r="L65" i="10"/>
  <c r="L230" i="10"/>
  <c r="L224" i="10"/>
  <c r="L292" i="10"/>
  <c r="L229" i="10"/>
  <c r="L211" i="10"/>
  <c r="L222" i="10"/>
  <c r="L256" i="10"/>
  <c r="L275" i="10"/>
  <c r="L66" i="10"/>
  <c r="L9" i="10"/>
  <c r="L228" i="10"/>
  <c r="L209" i="10"/>
  <c r="L259" i="10"/>
  <c r="L236" i="10"/>
  <c r="L219" i="10"/>
  <c r="L281" i="10"/>
  <c r="L261" i="10"/>
  <c r="L206" i="10"/>
  <c r="L277" i="10"/>
  <c r="L276" i="10"/>
  <c r="L294" i="10"/>
  <c r="L203" i="10"/>
  <c r="L252" i="10"/>
  <c r="L216" i="10"/>
  <c r="L293" i="10"/>
  <c r="L215" i="10"/>
  <c r="L223" i="10"/>
  <c r="L253" i="10"/>
  <c r="L262" i="10"/>
  <c r="L207" i="10"/>
  <c r="L278" i="10"/>
  <c r="L220" i="10"/>
  <c r="L232" i="10"/>
  <c r="L231" i="10"/>
  <c r="L52" i="10"/>
  <c r="L296" i="10"/>
  <c r="L225" i="10"/>
  <c r="L283" i="10"/>
  <c r="L299" i="10"/>
  <c r="L55" i="10"/>
  <c r="L67" i="10"/>
  <c r="L208" i="10"/>
  <c r="L234" i="10"/>
  <c r="L226" i="10"/>
  <c r="L258" i="10"/>
  <c r="L68" i="10"/>
  <c r="L227" i="10"/>
  <c r="N10" i="6"/>
  <c r="N9" i="6"/>
  <c r="N23" i="6"/>
  <c r="N18" i="6"/>
  <c r="N12" i="6"/>
  <c r="N20" i="6"/>
  <c r="N11" i="6"/>
  <c r="N25" i="6"/>
  <c r="N16" i="6"/>
  <c r="N21" i="6"/>
  <c r="N17" i="6"/>
  <c r="N24" i="6"/>
  <c r="N15" i="6"/>
  <c r="N26" i="6"/>
  <c r="N22" i="6"/>
  <c r="N19" i="6"/>
  <c r="N170" i="4"/>
  <c r="N94" i="4"/>
  <c r="N107" i="4"/>
  <c r="N26" i="4"/>
  <c r="N97" i="4"/>
  <c r="N171" i="4"/>
  <c r="N166" i="4"/>
  <c r="N172" i="4"/>
  <c r="N163" i="4"/>
  <c r="N102" i="4"/>
  <c r="N161" i="4"/>
  <c r="N18" i="4"/>
  <c r="N15" i="4"/>
  <c r="N27" i="4"/>
  <c r="N204" i="4"/>
  <c r="N197" i="4"/>
  <c r="N156" i="4"/>
  <c r="N168" i="4"/>
  <c r="N14" i="4"/>
  <c r="N23" i="4"/>
  <c r="N199" i="4"/>
  <c r="N203" i="4"/>
  <c r="N160" i="4"/>
  <c r="N164" i="4"/>
  <c r="N101" i="4"/>
  <c r="N174" i="4"/>
  <c r="N98" i="4"/>
  <c r="N155" i="4"/>
  <c r="N96" i="4"/>
  <c r="N154" i="4"/>
  <c r="N99" i="4"/>
  <c r="N11" i="4"/>
  <c r="N177" i="4"/>
  <c r="N200" i="4"/>
  <c r="N205" i="4"/>
  <c r="N158" i="4"/>
  <c r="N106" i="4"/>
  <c r="N173" i="4"/>
  <c r="N17" i="4"/>
  <c r="N162" i="4"/>
  <c r="N167" i="4"/>
  <c r="N108" i="4"/>
  <c r="N159" i="4"/>
  <c r="N157" i="4"/>
  <c r="N165" i="4"/>
  <c r="N95" i="4"/>
  <c r="N100" i="4"/>
  <c r="N21" i="4"/>
  <c r="N20" i="4"/>
  <c r="N24" i="4"/>
  <c r="N12" i="4"/>
  <c r="N198" i="4"/>
  <c r="N202" i="4"/>
  <c r="N47" i="3"/>
  <c r="N27" i="3"/>
  <c r="N151" i="3"/>
  <c r="N113" i="3"/>
  <c r="N52" i="3"/>
  <c r="N109" i="3"/>
  <c r="N147" i="3"/>
  <c r="N20" i="3"/>
  <c r="N18" i="3"/>
  <c r="N45" i="3"/>
  <c r="N16" i="3"/>
  <c r="N149" i="3"/>
  <c r="N58" i="3"/>
  <c r="N54" i="3"/>
  <c r="N156" i="3"/>
  <c r="N56" i="3"/>
  <c r="N111" i="3"/>
  <c r="N158" i="3"/>
  <c r="N157" i="3"/>
  <c r="N25" i="3"/>
  <c r="N108" i="3"/>
  <c r="N43" i="3"/>
  <c r="N169" i="4"/>
  <c r="N179" i="4"/>
  <c r="N180" i="4"/>
  <c r="N178" i="4"/>
  <c r="N181" i="4"/>
  <c r="N10" i="4"/>
  <c r="N22" i="4"/>
  <c r="N25" i="4"/>
  <c r="N19" i="4"/>
  <c r="N16" i="4"/>
  <c r="N13" i="4"/>
  <c r="N146" i="3"/>
  <c r="N155" i="3"/>
  <c r="N24" i="3"/>
  <c r="N19" i="3"/>
  <c r="N26" i="3"/>
  <c r="N57" i="3"/>
  <c r="N51" i="3"/>
  <c r="N148" i="3"/>
  <c r="N44" i="3"/>
  <c r="N110" i="3"/>
  <c r="N42" i="3"/>
  <c r="N53" i="3"/>
  <c r="N46" i="3"/>
  <c r="N17" i="3"/>
  <c r="L213" i="10"/>
  <c r="I3" i="10" l="1"/>
  <c r="K3" i="6"/>
  <c r="K3" i="4"/>
  <c r="L411" i="10"/>
  <c r="N46" i="6"/>
  <c r="C17" i="2"/>
  <c r="C19" i="2" s="1"/>
  <c r="C16" i="2" l="1"/>
  <c r="C13" i="2"/>
  <c r="C12" i="2"/>
  <c r="C11" i="2"/>
  <c r="C15" i="2" l="1"/>
  <c r="D16" i="2" l="1"/>
  <c r="E16" i="2"/>
  <c r="N112" i="3" l="1"/>
  <c r="N164" i="3" l="1"/>
  <c r="N160" i="3"/>
  <c r="N159" i="3"/>
  <c r="D10" i="2"/>
  <c r="K3" i="3" l="1"/>
  <c r="C10" i="2" s="1"/>
  <c r="E10" i="2"/>
</calcChain>
</file>

<file path=xl/sharedStrings.xml><?xml version="1.0" encoding="utf-8"?>
<sst xmlns="http://schemas.openxmlformats.org/spreadsheetml/2006/main" count="4233" uniqueCount="1754">
  <si>
    <t>Все внутренние блоки бытовой серии укомплектованы дистанционными ИК пультами управления.</t>
  </si>
  <si>
    <t>ASHG18LFCA</t>
  </si>
  <si>
    <t>ABHG14LVTA</t>
  </si>
  <si>
    <t>AUHG07LVLA</t>
  </si>
  <si>
    <t>AUHG09LVLA</t>
  </si>
  <si>
    <t>ARHG07LLTA</t>
  </si>
  <si>
    <t>ARHG09LLTA</t>
  </si>
  <si>
    <t>Адаптер для подключения проводного пульта или внешнего управления</t>
  </si>
  <si>
    <t>Беспроводной ПДУ</t>
  </si>
  <si>
    <t>Проводной ПДУ</t>
  </si>
  <si>
    <t>Групповой пульт управления</t>
  </si>
  <si>
    <t>Сервисная диагностическая
программа Service Tool</t>
  </si>
  <si>
    <t>Конвертор для сети Lonworks</t>
  </si>
  <si>
    <t>Системный контроллер</t>
  </si>
  <si>
    <t>Шлюз  BACnet</t>
  </si>
  <si>
    <t>Комплект соеденительных  кабелей для управления дополнительными устройствами</t>
  </si>
  <si>
    <t>Дренажный насос для подпотолочных моделей</t>
  </si>
  <si>
    <t>Упрощ. ПДУ (без управления режимами)</t>
  </si>
  <si>
    <t>Упр. ПДУ (с управлением режимами)</t>
  </si>
  <si>
    <t>Заглушка воздуховыпускного отверстия</t>
  </si>
  <si>
    <t>Комплект для подмеса свежего воздуха</t>
  </si>
  <si>
    <t>Центральный пульт управления</t>
  </si>
  <si>
    <t>Ваш % скидки</t>
  </si>
  <si>
    <t>Объём, куб.м.</t>
  </si>
  <si>
    <t>Вес в кг, брутто</t>
  </si>
  <si>
    <t>Наружный</t>
  </si>
  <si>
    <t>Внутренний</t>
  </si>
  <si>
    <t>Сумма с учетом вашей скидки</t>
  </si>
  <si>
    <t>Кол-во</t>
  </si>
  <si>
    <t>AOHG18LFC</t>
  </si>
  <si>
    <t>Выносной датчик температуры</t>
  </si>
  <si>
    <t>ASHG07LUCA</t>
  </si>
  <si>
    <t>ASHG09LUCA</t>
  </si>
  <si>
    <t>ASHG12LUCA</t>
  </si>
  <si>
    <t>AOHG12LUC</t>
  </si>
  <si>
    <t>ASHG14LUCA</t>
  </si>
  <si>
    <t>AOHG14LUC</t>
  </si>
  <si>
    <t>ASHG09LTCA</t>
  </si>
  <si>
    <t>ASHG12LTCA</t>
  </si>
  <si>
    <t>AOHG09LTC</t>
  </si>
  <si>
    <t>AOHG12LTC</t>
  </si>
  <si>
    <t>AOHG14LAC2</t>
  </si>
  <si>
    <t>AOHG18LAC2</t>
  </si>
  <si>
    <t>AOHG18LAT3</t>
  </si>
  <si>
    <t>AOHG24LAT3</t>
  </si>
  <si>
    <t>AOHG30LAT4</t>
  </si>
  <si>
    <t xml:space="preserve">Диагностическая программа мониторинга через Интернет </t>
  </si>
  <si>
    <t>Модель</t>
  </si>
  <si>
    <t>Мощность, кВт</t>
  </si>
  <si>
    <t>охл.</t>
  </si>
  <si>
    <t>нагрев</t>
  </si>
  <si>
    <t>Аксессуары</t>
  </si>
  <si>
    <t>Усилитель сигнала</t>
  </si>
  <si>
    <t xml:space="preserve">Внутренние блоки напольно-потолочного типа </t>
  </si>
  <si>
    <t xml:space="preserve">Внутренние блоки кассетного типа </t>
  </si>
  <si>
    <t xml:space="preserve">Внутренние блоки канального типа </t>
  </si>
  <si>
    <t>ASHG14LTCB</t>
  </si>
  <si>
    <t>ASHG12LTCB</t>
  </si>
  <si>
    <t>ASHG09LTCB</t>
  </si>
  <si>
    <t>AOHG09LTCN</t>
  </si>
  <si>
    <t>AOHG12LTCN</t>
  </si>
  <si>
    <t>AUHG12LVLB</t>
  </si>
  <si>
    <t>AOHG12LALL</t>
  </si>
  <si>
    <t>AUHG14LVLB</t>
  </si>
  <si>
    <t>AOHG14LALL</t>
  </si>
  <si>
    <t>AUHG18LVLB</t>
  </si>
  <si>
    <t>ABHG18LVTB</t>
  </si>
  <si>
    <t>ARHG12LLTB</t>
  </si>
  <si>
    <t>ARHG14LLTB</t>
  </si>
  <si>
    <t>ARHG18LLTB</t>
  </si>
  <si>
    <t>AGHG09LVCB</t>
  </si>
  <si>
    <t>AOHG09LVCN</t>
  </si>
  <si>
    <t>AGHG12LVCB</t>
  </si>
  <si>
    <t>AOHG12LVCN</t>
  </si>
  <si>
    <t>AGHG14LVCB</t>
  </si>
  <si>
    <t>AOHG14LVCN</t>
  </si>
  <si>
    <t>Winner Nordic</t>
  </si>
  <si>
    <t xml:space="preserve">Работа в режиме обогрева до -25 °С, датчик движения, ионный деодорирующий фильтр, яблочно-катехиновый фильтр, недельный таймер </t>
  </si>
  <si>
    <t>Winner Silver</t>
  </si>
  <si>
    <t xml:space="preserve">Работа в режиме обогрева до -20 °С, датчик движения, ионный деодорирующий фильтр, яблочно-катехиновый фильтр, недельный таймер </t>
  </si>
  <si>
    <t>Инверторные сплит-системы настенного типа (R410a, тепло/холод)</t>
  </si>
  <si>
    <t xml:space="preserve">Ионный деодорирующий фильтр, яблочно-катехиновый фильтр, недельный таймер </t>
  </si>
  <si>
    <t>Winner White</t>
  </si>
  <si>
    <t>Nordic</t>
  </si>
  <si>
    <t xml:space="preserve">Работа в режиме обогрева до -25 °С, ионный деодорирующий фильтр, яблочно-катехиновый фильтр </t>
  </si>
  <si>
    <t>Энергоэффективность</t>
  </si>
  <si>
    <t>EER</t>
  </si>
  <si>
    <t>COP</t>
  </si>
  <si>
    <t>4,12 / A</t>
  </si>
  <si>
    <t>3,21 / A</t>
  </si>
  <si>
    <t>3,62 / A</t>
  </si>
  <si>
    <t>4,95 / A</t>
  </si>
  <si>
    <t>4,85 / A</t>
  </si>
  <si>
    <t>4,40 / A</t>
  </si>
  <si>
    <t>3,91 / A</t>
  </si>
  <si>
    <t>4,35 / A</t>
  </si>
  <si>
    <t>4,55 / A</t>
  </si>
  <si>
    <t>4,50 / A</t>
  </si>
  <si>
    <t>4,71 / A</t>
  </si>
  <si>
    <t>3,87 / A</t>
  </si>
  <si>
    <t>4,30 / A</t>
  </si>
  <si>
    <t>3,40 / A</t>
  </si>
  <si>
    <t>3,97 / A</t>
  </si>
  <si>
    <t>4,27 / A</t>
  </si>
  <si>
    <t>Ионный деодорирующий фильтр, яблочно-катехиновый фильтр</t>
  </si>
  <si>
    <t>Опционально - система тонкой очистки воздуха: ионный деодорирующий фильтр, яблочно-катехиновый фильтр</t>
  </si>
  <si>
    <t xml:space="preserve">Floor </t>
  </si>
  <si>
    <t>Инверторные сплит-системы напольного типа (R410a, тепло/холод)</t>
  </si>
  <si>
    <t>Floor Nordic</t>
  </si>
  <si>
    <t>Соединительный кабель для подключения внешнего управления</t>
  </si>
  <si>
    <t>Декоративная
 панель</t>
  </si>
  <si>
    <t>4,04 / A</t>
  </si>
  <si>
    <t>4,38 / A</t>
  </si>
  <si>
    <t>3,42 / A</t>
  </si>
  <si>
    <t>3,68 / A</t>
  </si>
  <si>
    <t>3,23 / A</t>
  </si>
  <si>
    <t>3,61 / A</t>
  </si>
  <si>
    <t>3,08 / B</t>
  </si>
  <si>
    <t>3,78 / A</t>
  </si>
  <si>
    <t>4,91 / A</t>
  </si>
  <si>
    <t>4,43 / A</t>
  </si>
  <si>
    <t>3,85 / A</t>
  </si>
  <si>
    <t>3,72 / A</t>
  </si>
  <si>
    <t>2,81 / C</t>
  </si>
  <si>
    <t>3,5
(0,9-4,4)</t>
  </si>
  <si>
    <t>4,1
(0,9-5,7)</t>
  </si>
  <si>
    <t>4,3
(0,9-5,4)</t>
  </si>
  <si>
    <t>5,0
(0,9-6,5)</t>
  </si>
  <si>
    <t>5,2
(0,9-5,9)</t>
  </si>
  <si>
    <t>6,0
(0,9-7,5)</t>
  </si>
  <si>
    <t>8,0
(0,9-9,1)</t>
  </si>
  <si>
    <t>3,33 / A</t>
  </si>
  <si>
    <t xml:space="preserve">3,69 /A </t>
  </si>
  <si>
    <t>3,71 / A</t>
  </si>
  <si>
    <t>10,0
(2,7-11,2)</t>
  </si>
  <si>
    <t>3,01 / B</t>
  </si>
  <si>
    <t>3,41 / B</t>
  </si>
  <si>
    <t>3,52 / A</t>
  </si>
  <si>
    <t>3,90 / A</t>
  </si>
  <si>
    <t>3,43 / B</t>
  </si>
  <si>
    <t>3,73/ A</t>
  </si>
  <si>
    <t>3,69 / A</t>
  </si>
  <si>
    <t>3,71/ A</t>
  </si>
  <si>
    <t>3,90  /A</t>
  </si>
  <si>
    <t>3,81 / A</t>
  </si>
  <si>
    <t>3,66 / A</t>
  </si>
  <si>
    <t>3,67 / A</t>
  </si>
  <si>
    <t>4,00 / A</t>
  </si>
  <si>
    <t>4,20 / A</t>
  </si>
  <si>
    <t>3,50 / A</t>
  </si>
  <si>
    <t>3,60 / A</t>
  </si>
  <si>
    <t>Комплект изоляции для работы в условиях высокой влажности</t>
  </si>
  <si>
    <t>Дополнительное програмное обеспечение для системного контроллера</t>
  </si>
  <si>
    <r>
      <t>AUHG12L</t>
    </r>
    <r>
      <rPr>
        <b/>
        <sz val="8"/>
        <rFont val="Arial Cyr"/>
        <charset val="204"/>
      </rPr>
      <t/>
    </r>
  </si>
  <si>
    <r>
      <t>AUHG14L</t>
    </r>
    <r>
      <rPr>
        <b/>
        <sz val="8"/>
        <rFont val="Arial Cyr"/>
        <charset val="204"/>
      </rPr>
      <t/>
    </r>
  </si>
  <si>
    <r>
      <t>AUHG18L</t>
    </r>
    <r>
      <rPr>
        <b/>
        <sz val="8"/>
        <rFont val="Arial Cyr"/>
        <charset val="204"/>
      </rPr>
      <t/>
    </r>
  </si>
  <si>
    <t>ABHG18L</t>
  </si>
  <si>
    <t>Внутренний блок комплектуется ИК-пультом и воздушными фильтрами</t>
  </si>
  <si>
    <t>Внутренний блок комплектуется проводным пультом</t>
  </si>
  <si>
    <t>Внутренний блок комплектуется ИК-пультом, дренажным насосом и воздушным фильтром</t>
  </si>
  <si>
    <t>Внутренний блок комплектуется проводным пультом, дренажным насосом и воздушными фильтром</t>
  </si>
  <si>
    <t>Состав 
комплекта</t>
  </si>
  <si>
    <t>Наружные блоки  (R410a, тепло/холод)</t>
  </si>
  <si>
    <t>Наружные блоки с возможностью подключения нескольких внутренних блоков по схеме Twin/Triple. Использование нескольких внутренних блоков вместо одного внутреннего блока большой производительности позволяет обеспечить равномерное распределение температуры по всему объёму помещения.</t>
  </si>
  <si>
    <t>Внутренний блок комплектуется проводным пультом и воздушным фильтром</t>
  </si>
  <si>
    <t>Внутренний блок комплектуется ИК-пультом и воздушным фильтром</t>
  </si>
  <si>
    <t xml:space="preserve">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</si>
  <si>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Внутренний блок комплектуется ИК-пультом и воздушными фильтрами (ионный деодорирующий и яблочно-катехиновый фильтр)</t>
  </si>
  <si>
    <t>Внутренние блоки кассетного типа компактные  (R410a, тепло/холод)</t>
  </si>
  <si>
    <t>Внутренние блоки канального типа  (R410a, тепло/холод)</t>
  </si>
  <si>
    <t>Внутренний блок комплектуется проводным пультом, дренажным насосом и воздушным фильтром</t>
  </si>
  <si>
    <t>Внутренние блоки напольно-подпотолочного типа  (R410a, тепло/холод)</t>
  </si>
  <si>
    <t>Комплект соеденительных  кабелей для подключения внешнего управления к внутренним блокам</t>
  </si>
  <si>
    <t>Внутренние блоки настенного типа c встроенным ЭРВ клапаном</t>
  </si>
  <si>
    <t>Ионный деодорирующий и яблочно-катехиновый фильтр</t>
  </si>
  <si>
    <t>Внутренние блоки настенного типа c выносным ЭРВ клапаном</t>
  </si>
  <si>
    <t>Внутренний блок комплектуется дренажным насосом и воздушным фильтром</t>
  </si>
  <si>
    <t>Внутренние блоки кассетного типа  (R410a, тепло/холод)</t>
  </si>
  <si>
    <t>Внутренние блоки напольно-подпотолочного и подпотолочного типа  (R410a, тепло/холод)</t>
  </si>
  <si>
    <t>Внутренний блок комплектуется воздушными фильтрами</t>
  </si>
  <si>
    <t>Комплект для выносного индикатора</t>
  </si>
  <si>
    <t>Заглушка для напольных блоков</t>
  </si>
  <si>
    <t>AOHG14LTCN</t>
  </si>
  <si>
    <t>AUHG36LRLA</t>
  </si>
  <si>
    <t>AOHG36LATT</t>
  </si>
  <si>
    <t>AOHG45LATT</t>
  </si>
  <si>
    <t>ABHG36LRTA</t>
  </si>
  <si>
    <t>ABHG45LRTA</t>
  </si>
  <si>
    <t>ABHG54LRTA</t>
  </si>
  <si>
    <t>AOHG54LATT</t>
  </si>
  <si>
    <t>ARHG36LMLA</t>
  </si>
  <si>
    <t>ARHG45LMLA</t>
  </si>
  <si>
    <t>ARHG45LHTA</t>
  </si>
  <si>
    <t>ARHG54LHTA</t>
  </si>
  <si>
    <t>AUHG54LRLA</t>
  </si>
  <si>
    <t>AOHG36LATT (3ф.)</t>
  </si>
  <si>
    <t>AOHG54LATT (3ф.)</t>
  </si>
  <si>
    <t>AUHG18L</t>
  </si>
  <si>
    <t>AUHG22LVLA</t>
  </si>
  <si>
    <t>AUHG24L</t>
  </si>
  <si>
    <t>AUHG24LVLA</t>
  </si>
  <si>
    <t>ARHG24LMLA</t>
  </si>
  <si>
    <t>ABHG24LVTA</t>
  </si>
  <si>
    <t>Соединительный кабель для  подключения внешнего управления</t>
  </si>
  <si>
    <t>4,1 / A</t>
  </si>
  <si>
    <t>ASHG30LFCA</t>
  </si>
  <si>
    <t>AOHG30LFT</t>
  </si>
  <si>
    <t xml:space="preserve">AUXB07GALH </t>
  </si>
  <si>
    <t>AUXB09GALH</t>
  </si>
  <si>
    <t xml:space="preserve">AUXB12GALH </t>
  </si>
  <si>
    <t xml:space="preserve">AUXB14GALH </t>
  </si>
  <si>
    <t>AUXB18GALH</t>
  </si>
  <si>
    <t xml:space="preserve">AUXB24GALH </t>
  </si>
  <si>
    <t>AUXB07GALH</t>
  </si>
  <si>
    <t>AUXB12GALH</t>
  </si>
  <si>
    <t>AUXB14GALH</t>
  </si>
  <si>
    <t>AUXB24GALH</t>
  </si>
  <si>
    <t>AUXA30GALH</t>
  </si>
  <si>
    <t>AUXA36GALH</t>
  </si>
  <si>
    <t>AUXA45GALH</t>
  </si>
  <si>
    <t>AUXA54GALH</t>
  </si>
  <si>
    <t>AJHA72GALH</t>
  </si>
  <si>
    <t>AJHA90GALH</t>
  </si>
  <si>
    <t>AJH108GALH</t>
  </si>
  <si>
    <t>AJH126GALH</t>
  </si>
  <si>
    <t>AJH144GALH</t>
  </si>
  <si>
    <t>ABHA12GATH</t>
  </si>
  <si>
    <t>ABHA14GATH</t>
  </si>
  <si>
    <t>ABHA18GATH</t>
  </si>
  <si>
    <t>ABHA24GATH</t>
  </si>
  <si>
    <t>ABHA30GATH</t>
  </si>
  <si>
    <t>ABHA36GATH</t>
  </si>
  <si>
    <t>ABHA45GATH</t>
  </si>
  <si>
    <t>ABHA54GATH</t>
  </si>
  <si>
    <t xml:space="preserve">Система с рекуперацией тепла (одновременной работой в режимах охлаждения и обогрева). Инверторные наружные блоки с возможностью подключения нескольких внутренних блоков. Высокая эффективность, большая длина трассы, простой монтаж.  </t>
  </si>
  <si>
    <t>Сенсорный проводной пульт</t>
  </si>
  <si>
    <t>ARXD04GALH</t>
  </si>
  <si>
    <t>ARHG60LHTA</t>
  </si>
  <si>
    <t>AOHG60LATT</t>
  </si>
  <si>
    <t>ARHG60LH (3 ф.)</t>
  </si>
  <si>
    <t>3,19 / B</t>
  </si>
  <si>
    <t>3,25 / A</t>
  </si>
  <si>
    <t>3,6 / A</t>
  </si>
  <si>
    <t>Сетевой конвертор для подключения к Modbus</t>
  </si>
  <si>
    <t>Сетевой конвертор для подключения к KNX</t>
  </si>
  <si>
    <t>AGHG09LVCA</t>
  </si>
  <si>
    <t>AOHG09LVCA</t>
  </si>
  <si>
    <t>AGHG12LVCA</t>
  </si>
  <si>
    <t>AOHG12LVCA</t>
  </si>
  <si>
    <t>ASHG07LMCA</t>
  </si>
  <si>
    <t>ASHG09LMCA</t>
  </si>
  <si>
    <t>ASHG12LMCA</t>
  </si>
  <si>
    <t>ASHG14LMCA</t>
  </si>
  <si>
    <t>ASHG09LMCB</t>
  </si>
  <si>
    <t>ASHG12LMCB</t>
  </si>
  <si>
    <t>ASHG14LMCB</t>
  </si>
  <si>
    <t>AOHG09LMCBN</t>
  </si>
  <si>
    <t>3,49 / A</t>
  </si>
  <si>
    <t>3,46 / A</t>
  </si>
  <si>
    <t>Сумма, $</t>
  </si>
  <si>
    <t>Адаптер для управления через Wi-Fi</t>
  </si>
  <si>
    <t>AOHG07LMCA</t>
  </si>
  <si>
    <t>AOHG09LMCA</t>
  </si>
  <si>
    <t>AOHG12LMCA</t>
  </si>
  <si>
    <t>AOHG14LMCA</t>
  </si>
  <si>
    <t>3,53 / A</t>
  </si>
  <si>
    <t>ARHG24LM</t>
  </si>
  <si>
    <r>
      <t>ABHG24L</t>
    </r>
    <r>
      <rPr>
        <b/>
        <sz val="8"/>
        <rFont val="Arial Cyr"/>
        <charset val="204"/>
      </rPr>
      <t/>
    </r>
  </si>
  <si>
    <r>
      <t>ABHG30L</t>
    </r>
    <r>
      <rPr>
        <b/>
        <sz val="12"/>
        <color indexed="10"/>
        <rFont val="Arial"/>
        <family val="2"/>
        <charset val="204"/>
      </rPr>
      <t/>
    </r>
  </si>
  <si>
    <t>ABHG36L (1 ф.)</t>
  </si>
  <si>
    <t xml:space="preserve">   ABHG36L  (3 ф.)</t>
  </si>
  <si>
    <t>ABHG45L (1 ф.)</t>
  </si>
  <si>
    <t>AOHG45LBT8</t>
  </si>
  <si>
    <t>AUHG30L</t>
  </si>
  <si>
    <t>AUHG36L (1 ф.)</t>
  </si>
  <si>
    <t>AUHG45L  (1 ф.)</t>
  </si>
  <si>
    <t>AUHG45L  (3 ф.)</t>
  </si>
  <si>
    <t>AUHG54L  (1 ф.)</t>
  </si>
  <si>
    <t xml:space="preserve">   ABHG45L (3 ф.)</t>
  </si>
  <si>
    <t>ABHG54L (3 ф.)</t>
  </si>
  <si>
    <t>4,3 / A</t>
  </si>
  <si>
    <t>3,92 / A</t>
  </si>
  <si>
    <t>AGHG14LVCA</t>
  </si>
  <si>
    <t>AUHG30LRLE</t>
  </si>
  <si>
    <t>AUHG36LRLE</t>
  </si>
  <si>
    <t>AOHG30LETL</t>
  </si>
  <si>
    <t>AOHG36LETL</t>
  </si>
  <si>
    <t>AUHG45LRLA</t>
  </si>
  <si>
    <t>AOHG45LETL</t>
  </si>
  <si>
    <t>ARHG30LMLE</t>
  </si>
  <si>
    <t>AOHG24LALA</t>
  </si>
  <si>
    <t>ABHG30LRTE</t>
  </si>
  <si>
    <t>ABHG36LRTE</t>
  </si>
  <si>
    <t>AOHG07LUCA</t>
  </si>
  <si>
    <t>AOHG09LUCB</t>
  </si>
  <si>
    <t>ASHG24LFCC</t>
  </si>
  <si>
    <t>AOHG24LFCC</t>
  </si>
  <si>
    <t>ARHG30LM</t>
  </si>
  <si>
    <t>ARHG36LM (1 ф.)</t>
  </si>
  <si>
    <t>ARHG45LM  (1 ф.)</t>
  </si>
  <si>
    <t xml:space="preserve">   ARHG45LM (3 ф.)</t>
  </si>
  <si>
    <t xml:space="preserve">   ARHG45LH (1 ф.)</t>
  </si>
  <si>
    <t xml:space="preserve">   ARHG45LH (3 ф.)</t>
  </si>
  <si>
    <t>ARHC54LH (1 ф.)</t>
  </si>
  <si>
    <t>ARHG54LH (3 ф.)</t>
  </si>
  <si>
    <t>AUXD18GALH</t>
  </si>
  <si>
    <t>AUXD24GALH</t>
  </si>
  <si>
    <t>ARXD07GALH</t>
  </si>
  <si>
    <t>ARXD09GALH</t>
  </si>
  <si>
    <t>ARXD12GALH</t>
  </si>
  <si>
    <t>ARXD14GALH</t>
  </si>
  <si>
    <t>ARXD18GALH</t>
  </si>
  <si>
    <t>ARXD24GALH</t>
  </si>
  <si>
    <t>ARXA24GBLH</t>
  </si>
  <si>
    <t>ARXA30GBLH</t>
  </si>
  <si>
    <t>ARXA36GBLH</t>
  </si>
  <si>
    <t>ARXA45GBLH</t>
  </si>
  <si>
    <t>ARHG36LMLE</t>
  </si>
  <si>
    <t>Габариты, мм</t>
  </si>
  <si>
    <t>578x790x300</t>
  </si>
  <si>
    <t>830x900x330</t>
  </si>
  <si>
    <t>268x840x203</t>
  </si>
  <si>
    <t>540x790x290</t>
  </si>
  <si>
    <t>620x790x290</t>
  </si>
  <si>
    <t>282×870×185</t>
  </si>
  <si>
    <t>282x870x185</t>
  </si>
  <si>
    <t>540x660x290</t>
  </si>
  <si>
    <t>320x998x238</t>
  </si>
  <si>
    <t>578x790x315</t>
  </si>
  <si>
    <t>535x663x293</t>
  </si>
  <si>
    <t>262×820×206</t>
  </si>
  <si>
    <t>535×663×293</t>
  </si>
  <si>
    <t>AOHG14LVLA</t>
  </si>
  <si>
    <t>600x740x200</t>
  </si>
  <si>
    <t>1290x900x330</t>
  </si>
  <si>
    <t>270x1135x700</t>
  </si>
  <si>
    <t>400x1050x500</t>
  </si>
  <si>
    <t>199x990x655</t>
  </si>
  <si>
    <t>240x1660x700</t>
  </si>
  <si>
    <t xml:space="preserve">245x570x570 </t>
  </si>
  <si>
    <t>49x700x700</t>
  </si>
  <si>
    <t xml:space="preserve">288x840x840 </t>
  </si>
  <si>
    <t>50x950x950</t>
  </si>
  <si>
    <t>1290х900х330</t>
  </si>
  <si>
    <t>198x700x620</t>
  </si>
  <si>
    <t>425х1250х490</t>
  </si>
  <si>
    <t>450х1587х700</t>
  </si>
  <si>
    <t>1690х930х765</t>
  </si>
  <si>
    <t>550х1587х700</t>
  </si>
  <si>
    <t>245x570x570</t>
  </si>
  <si>
    <t>700x900x330</t>
  </si>
  <si>
    <t>914x970x370</t>
  </si>
  <si>
    <t>275х790х215</t>
  </si>
  <si>
    <t>320х998х228</t>
  </si>
  <si>
    <t>245х570х570</t>
  </si>
  <si>
    <t>50x700x700</t>
  </si>
  <si>
    <t>246х840х840</t>
  </si>
  <si>
    <t>288х840х840</t>
  </si>
  <si>
    <t>198х700х620</t>
  </si>
  <si>
    <t>270х1135х700</t>
  </si>
  <si>
    <t>400х1050х500</t>
  </si>
  <si>
    <t>450х1550х700</t>
  </si>
  <si>
    <t>199х990х655</t>
  </si>
  <si>
    <t>240х1660х700</t>
  </si>
  <si>
    <t>С какими блоками cовместимы</t>
  </si>
  <si>
    <t>Название и назначение</t>
  </si>
  <si>
    <t>ASHG-LTCB, ASHG-LTCA,
ASHG-LUCA</t>
  </si>
  <si>
    <t>Совместим со всеми внутренними блоками, допускающими подключение проводного пульта управления. При интеграции необходим для каждого внутреннего блока.</t>
  </si>
  <si>
    <t>AGHG09-14L</t>
  </si>
  <si>
    <t>AUHG30-54L</t>
  </si>
  <si>
    <t>AOHG36-54LATT</t>
  </si>
  <si>
    <t>Совместим не со всеми
моделями, подробнее
см. тех. документацию.</t>
  </si>
  <si>
    <t>ARHG24-54L, ARG25-45U</t>
  </si>
  <si>
    <t>AUHG07-24L</t>
  </si>
  <si>
    <t>Со всеми внутренними блоками серии Flexible Multi в комбинации с
AOHG45LBT8</t>
  </si>
  <si>
    <t xml:space="preserve">Упрощенный проводной пуль с возможностью управления режимами </t>
  </si>
  <si>
    <t>Сет. конвертер для подключения
 сплит-системы к сети VRF Airstage V II</t>
  </si>
  <si>
    <t xml:space="preserve">Сетевой конвертор для подключения к Modbus </t>
  </si>
  <si>
    <t>Программа для расширенной сервисной диагностики</t>
  </si>
  <si>
    <t xml:space="preserve">Фланец круглый </t>
  </si>
  <si>
    <t>ABG30-54U</t>
  </si>
  <si>
    <t>3,5 / B</t>
  </si>
  <si>
    <t xml:space="preserve">Инфракрасный пульт управления + приемник сигнала </t>
  </si>
  <si>
    <t>Инфракрасный пульт управления + приемник сигнала</t>
  </si>
  <si>
    <t xml:space="preserve"> Воздушный фильтр</t>
  </si>
  <si>
    <t>ARHG24-54L</t>
  </si>
  <si>
    <t xml:space="preserve">Фланец прямоугольный </t>
  </si>
  <si>
    <t>ARHG24-45L</t>
  </si>
  <si>
    <t>ARHG36-45L</t>
  </si>
  <si>
    <t xml:space="preserve">Дренажный насос </t>
  </si>
  <si>
    <t xml:space="preserve"> Воздушный фильтр </t>
  </si>
  <si>
    <t>ARHG24-54</t>
  </si>
  <si>
    <t>ASHG-LFCA, AGHG-L</t>
  </si>
  <si>
    <t>Адаптер для управления через 
Wi-Fi</t>
  </si>
  <si>
    <t>ARHG12LL</t>
  </si>
  <si>
    <t>ARHG14LL</t>
  </si>
  <si>
    <t>ARHG18LL</t>
  </si>
  <si>
    <t>Средненапорные блоки</t>
  </si>
  <si>
    <t>Высоконапорные блоки</t>
  </si>
  <si>
    <t xml:space="preserve">Упрощенный проводной пульт с возможностью управления режимами </t>
  </si>
  <si>
    <t xml:space="preserve">Адаптер для подключения проводного пульта к </t>
  </si>
  <si>
    <t>Со всеми внутренними блоками новой серии (с блоками предыдущей версии не совместим)</t>
  </si>
  <si>
    <t>Со всеми внутренними блоками</t>
  </si>
  <si>
    <t>AUXD18-24LALH, AUXA30-54LALH</t>
  </si>
  <si>
    <t>ИК-приемник</t>
  </si>
  <si>
    <t>Многофункциональный центральный пульт
управления. Допускает подключение не
более 100 внутренних блоков.</t>
  </si>
  <si>
    <t>Программное обеспечение,
осуществляющее управление и мониторинг
крупных систем и ключ защиты.</t>
  </si>
  <si>
    <t>Дополнительное программное обеспечение
для расчета затрат на электроэнергию.</t>
  </si>
  <si>
    <t>Дополнительное программное обеспечение
для удаленного мониторинга и управления.</t>
  </si>
  <si>
    <t>Со всеми внутренними
блоками</t>
  </si>
  <si>
    <t>Со всеми внутренними
блоками. Для управления
внутренними блоками
канального и некоторыми
блоками кассетного типа
обязательно необходим
приемник инфракрасного
сигнала</t>
  </si>
  <si>
    <t xml:space="preserve">Со всеми системами
серий S, V, V II и VR II. </t>
  </si>
  <si>
    <t>Со всеми системами
серий S, V, V II и VR II</t>
  </si>
  <si>
    <t>Со всеми системами
серий S, V, V II и VR I</t>
  </si>
  <si>
    <t>Соединительный кабель</t>
  </si>
  <si>
    <t>Контроллер внешнего переключения</t>
  </si>
  <si>
    <t>AUXB07-24</t>
  </si>
  <si>
    <t>AUXD18-24, AUXA30-54</t>
  </si>
  <si>
    <t>AUXD18-24</t>
  </si>
  <si>
    <t>AUXA30-54</t>
  </si>
  <si>
    <t>ARXB07-18</t>
  </si>
  <si>
    <t>ARXB24-45, ARXA24-45</t>
  </si>
  <si>
    <t>ABHA30-54</t>
  </si>
  <si>
    <t>ARXB24-45, ARXA24-45,
ABHA30-54</t>
  </si>
  <si>
    <t>Только для мини-V IIS</t>
  </si>
  <si>
    <t>Разветвитель</t>
  </si>
  <si>
    <t xml:space="preserve">Разветвитель </t>
  </si>
  <si>
    <t>для 2х трубной схемы  (до 28 кВт)</t>
  </si>
  <si>
    <t>для 2х трубной схемы (от 28,1 до 56 кВт)</t>
  </si>
  <si>
    <t xml:space="preserve"> для 2х трубной схемы (от 56 кВт и более)</t>
  </si>
  <si>
    <t>Коллектор</t>
  </si>
  <si>
    <t>до 6 внутренних блоков  (до 28 кВт)</t>
  </si>
  <si>
    <t>до 6 внутренних блоков  (от 28,1 до 56 кВт)</t>
  </si>
  <si>
    <t>до 8 внутренних блоков  (от 28,1 до 56 кВт)</t>
  </si>
  <si>
    <t>до 8 внутренних блоков  (до 28 кВт)</t>
  </si>
  <si>
    <t>для 3-х трубного внешнего блока (обязательная опция для многомодульных систем)</t>
  </si>
  <si>
    <t>для 3х трубной схемы (до 28 кВт)</t>
  </si>
  <si>
    <t xml:space="preserve"> для 3х трубной схемы (от 28,1 до 56 кВт)</t>
  </si>
  <si>
    <t xml:space="preserve"> для 3х трубной схемы (от 56 кВт и более)</t>
  </si>
  <si>
    <t xml:space="preserve">Коллектор </t>
  </si>
  <si>
    <t>RB-блок однопортовый</t>
  </si>
  <si>
    <t xml:space="preserve">RB-блок однопортовый </t>
  </si>
  <si>
    <t xml:space="preserve">RB-блок четырехпортовый </t>
  </si>
  <si>
    <t xml:space="preserve"> до 3 блоков, до 8кВт</t>
  </si>
  <si>
    <t>до 8 блоков, до 18кВт</t>
  </si>
  <si>
    <t xml:space="preserve"> до 8 блоков, до 28кВт</t>
  </si>
  <si>
    <t>до 56кВт</t>
  </si>
  <si>
    <t>UTWC55XA</t>
  </si>
  <si>
    <t>UTWESPXA</t>
  </si>
  <si>
    <t>UTWTEVXA</t>
  </si>
  <si>
    <t>Инверторные сплит-системы</t>
  </si>
  <si>
    <t>Проводной пульт для полнофункционального индивидуального управления блоком или группой (до 16 внутренних блоков, работающих в одном режиме)</t>
  </si>
  <si>
    <t>Совместима не со всеми моделями, подробнее смотри тех. документацию</t>
  </si>
  <si>
    <t>ARHG22-24L</t>
  </si>
  <si>
    <t>ASHG-LUCA, ASHG-LMCA</t>
  </si>
  <si>
    <t xml:space="preserve"> ARHC36-60</t>
  </si>
  <si>
    <t>ИТОГО</t>
  </si>
  <si>
    <t>1) минимальное количество оборудование для объекта составляет:</t>
  </si>
  <si>
    <t>Бытовая серия - количество комплектов от 50 шт.</t>
  </si>
  <si>
    <t>VRF система – количество наружных блоков от 1 шт.</t>
  </si>
  <si>
    <t>Тип объекта</t>
  </si>
  <si>
    <t>Название объекта</t>
  </si>
  <si>
    <t>Адрес объекта (при отсутствии точного адреса, указывается квадрат ближайших улиц или перекрёсток)</t>
  </si>
  <si>
    <t>ВАЖНО:</t>
  </si>
  <si>
    <t>Выставлять счёт заказчику на оборудование, подлежащее регистрации,</t>
  </si>
  <si>
    <t>Срок действия КП 2 (два) месяца</t>
  </si>
  <si>
    <t xml:space="preserve">Подробную информацию о регистрации КП можно получить у курирующего менеджера по продажам </t>
  </si>
  <si>
    <t>В технической документации проекта должна быть правильно прописана торговая марка: GENERAL</t>
  </si>
  <si>
    <t>здесь.</t>
  </si>
  <si>
    <t>Бытовые сплит-системы</t>
  </si>
  <si>
    <t>Кассетные сплит-системы</t>
  </si>
  <si>
    <t>Канальные сплит-системы</t>
  </si>
  <si>
    <t>Универсальные сплит-системы</t>
  </si>
  <si>
    <t>Тепловые насосы "воздух-вода" WATERSTAGE</t>
  </si>
  <si>
    <t>UTPVX30A, UTPVX60A, UTPVX90A</t>
  </si>
  <si>
    <t>ЭРВ-блок</t>
  </si>
  <si>
    <t>Блок управления</t>
  </si>
  <si>
    <t>Мультизональные системы (VRF)</t>
  </si>
  <si>
    <t xml:space="preserve">Общий вес брутто, кг </t>
  </si>
  <si>
    <t>Сплит-системы бытового назначения</t>
  </si>
  <si>
    <t>Ваш заказ:</t>
  </si>
  <si>
    <t>Высокая энергоэффективность (Класс A++), ионный деодорирующий фильтр, яблочно-катехиновый фильтр</t>
  </si>
  <si>
    <t xml:space="preserve">Проводной пульт для полнофункционального индивидуального управления блоком </t>
  </si>
  <si>
    <t>ASHG-LTCB, ASHG-LTCA,
ASHG-LUCA, ASHG-LMCB, ASHG-LMCA</t>
  </si>
  <si>
    <t xml:space="preserve"> AUHG36L (3 ф.)</t>
  </si>
  <si>
    <t>AUHG54L  (3 ф.)</t>
  </si>
  <si>
    <t>Сплит-системы кассетного типа</t>
  </si>
  <si>
    <t>AUHG-L</t>
  </si>
  <si>
    <t xml:space="preserve">Дистанционный температурный
датчик внутреннего блока. В основном
применяется с канальными блоками, но может использоваться и с внутренними
блоками других типов. </t>
  </si>
  <si>
    <t>Проводной пульт для индивидуального управления блоком или группой (до 16 внутренних блоков, работающих в одном режиме)</t>
  </si>
  <si>
    <t>Цена комплекта с вашей скидкой</t>
  </si>
  <si>
    <t>Цена  с вашей скидкой поблочно</t>
  </si>
  <si>
    <t>Розничная цена комплекта</t>
  </si>
  <si>
    <t>Розничная цена поблочно</t>
  </si>
  <si>
    <t>Розничная цена</t>
  </si>
  <si>
    <t>Средненапорные тонкие блоки (от 0 до 90 Па)</t>
  </si>
  <si>
    <t>Средненапорные блоки (от 0 до 150 Па)</t>
  </si>
  <si>
    <t xml:space="preserve">Высоконапорные блоки (от 50 до 260  Па) </t>
  </si>
  <si>
    <t>ARHG45-54LH, ARG60U</t>
  </si>
  <si>
    <t>Компактные размеры, тихая работа, в комплекте идет ИК-пульт и воздушные фильтры</t>
  </si>
  <si>
    <t>при подключении 2х блоков для AOHG36L</t>
  </si>
  <si>
    <t>при подключении 2х блоков для AOHG45-54L</t>
  </si>
  <si>
    <t>при подключении 3х блоков для AOHG54L</t>
  </si>
  <si>
    <t>ARHG18-24L</t>
  </si>
  <si>
    <t>Все внутнренние блоки серии Big Multi</t>
  </si>
  <si>
    <t xml:space="preserve">Со всеми внутренними блоками серии Flexible Multi </t>
  </si>
  <si>
    <t>для 2-х трубного внешнего блока (обязательная опция для многомодульных систем)</t>
  </si>
  <si>
    <t xml:space="preserve"> для 3х трубной схемы, до 6 внутренних блоков  (до 28 кВт)</t>
  </si>
  <si>
    <t xml:space="preserve"> для 3х трубной схемы,  до 8 внутренних блоков  (до 28 кВт)</t>
  </si>
  <si>
    <t xml:space="preserve"> для 3х трубной схемы, до 6 внутренних блоков  (от 28,1 до 56 кВт)</t>
  </si>
  <si>
    <t xml:space="preserve"> для 3х трубной схемы,  до 8 внутренних блоков  (от 28,1 до 56 кВт)</t>
  </si>
  <si>
    <t>Сплит-системы канального типа</t>
  </si>
  <si>
    <t>Сплит-системы универсального типа</t>
  </si>
  <si>
    <t xml:space="preserve"> Мультисплит-системы типа Big-Multi</t>
  </si>
  <si>
    <t>Мультисплит-системы свободной компоновки Flexible Multi</t>
  </si>
  <si>
    <t>Тепловые насосы</t>
  </si>
  <si>
    <t>Проводной пульт для индивидуального управления блоком или группой</t>
  </si>
  <si>
    <t xml:space="preserve"> В основном
применяется с канальными блоками, но может использоваться и с внутренними
блоками других типов. </t>
  </si>
  <si>
    <t>Проводной пульт для полнофункционального индивидуального управления блоком или группой</t>
  </si>
  <si>
    <t>Системы управления</t>
  </si>
  <si>
    <t>Разветвители для 2-х трубных систем</t>
  </si>
  <si>
    <t>Разветвители для 3-х трубных систем</t>
  </si>
  <si>
    <t>RB-блоки (только для 3-х трубных систем)</t>
  </si>
  <si>
    <t>DX-kit</t>
  </si>
  <si>
    <t>Прочее</t>
  </si>
  <si>
    <t>Зачем регистрировать ТКП?</t>
  </si>
  <si>
    <t>В каких случаях необходимо регистрировать ТКП?</t>
  </si>
  <si>
    <t>ТКП должно пройти обязательную процедуру регистрации, если выполняется одно из следующих условий:</t>
  </si>
  <si>
    <t>Какую информацию необходимо предоставить, чтобы ТКП было принято на рассмотрение и регистрацию?</t>
  </si>
  <si>
    <t>Регистрация ТКП и их защита осуществляется в привязке к ОБЪЕКТУ</t>
  </si>
  <si>
    <t>без зарегистрированного ТКП категорически запрещается</t>
  </si>
  <si>
    <t>ТКП выставляется только в розничной цене</t>
  </si>
  <si>
    <t>Мультисплит-системы свободной компоновки FLEXIBLE MULTI</t>
  </si>
  <si>
    <t>Мультисплит-системы фиксированной компоновки BIG MULTI</t>
  </si>
  <si>
    <t>Дилер, зарегистрировавший ТКП в единой базе GENERAL, получает поддержку дистрибьютора и производителя в работе с зарегистрированным объектом.</t>
  </si>
  <si>
    <t>Оплата производится в рублях по курсу ЦБ РФ на день выставления счета.</t>
  </si>
  <si>
    <t>ДОСТАВКА КЛИМАТИЧЕСКОЙ ТЕХНИКИ ПО МОСКВЕ</t>
  </si>
  <si>
    <t>Доставка производится для московских климатических компаний, расположенных  за пределами ТТК (Третьего Транспортного Кольца) и в пределах малого бетонного кольца. Заявку на бесплатную доставку необходимо оформить минимум  за сутки до желаемой даты поставки.</t>
  </si>
  <si>
    <t>ДОСТАВКА КЛИМАТИЧЕСКОЙ ТЕХНИКИ В РЕГИОНЫ</t>
  </si>
  <si>
    <t>Доставка остуществляется ежедневно до терминалов транспортных компаний:</t>
  </si>
  <si>
    <t xml:space="preserve">                                             </t>
  </si>
  <si>
    <t>6,8
(0,9-8,0)</t>
  </si>
  <si>
    <t>3,54 / B</t>
  </si>
  <si>
    <t>3,18 / B</t>
  </si>
  <si>
    <t>198x900x620</t>
  </si>
  <si>
    <t>1334x970x370</t>
  </si>
  <si>
    <t>1690x930x765</t>
  </si>
  <si>
    <t>1690x1240x765</t>
  </si>
  <si>
    <t>компания "АЯК-Москва"</t>
  </si>
  <si>
    <t>199x990x665</t>
  </si>
  <si>
    <t>830х900х330</t>
  </si>
  <si>
    <t>998х970х370</t>
  </si>
  <si>
    <t>198х900х620</t>
  </si>
  <si>
    <t>198х1100х620</t>
  </si>
  <si>
    <t>AOHG12LMCBN</t>
  </si>
  <si>
    <t>AOHG14LMCBN</t>
  </si>
  <si>
    <t>8,5
(2,8-10,0)</t>
  </si>
  <si>
    <t>e-mail: Dealer@jac.ru</t>
  </si>
  <si>
    <t xml:space="preserve">Программа подбора оборудования GENERAL доступна для скачивания </t>
  </si>
  <si>
    <t>AUXA18GALH</t>
  </si>
  <si>
    <t>288x840x840</t>
  </si>
  <si>
    <t>AUXA24GALH</t>
  </si>
  <si>
    <t>AUXA34GALH</t>
  </si>
  <si>
    <t>Тел./факс: 8-800-23456-05</t>
  </si>
  <si>
    <t xml:space="preserve">  Мультизональные системы</t>
  </si>
  <si>
    <t>AOHG54LETL</t>
  </si>
  <si>
    <t>AJH108LALBH</t>
  </si>
  <si>
    <t>AJH126LALBH</t>
  </si>
  <si>
    <t>AJH144LALBH</t>
  </si>
  <si>
    <t>AJH162LALBH</t>
  </si>
  <si>
    <t>AJH072LALBH</t>
  </si>
  <si>
    <t>AJH090LALBH</t>
  </si>
  <si>
    <t>ARXC36GATH</t>
  </si>
  <si>
    <t>ARXC45GATH</t>
  </si>
  <si>
    <t>ARXC60GATH</t>
  </si>
  <si>
    <t>ARXC72GATH</t>
  </si>
  <si>
    <t>ARXC90GATH</t>
  </si>
  <si>
    <t xml:space="preserve">Eco Server                                                 </t>
  </si>
  <si>
    <t>ASHG30LMTA</t>
  </si>
  <si>
    <t>AOHG30LMTA</t>
  </si>
  <si>
    <t>ASHG36LMTA</t>
  </si>
  <si>
    <t>3,43 / A</t>
  </si>
  <si>
    <t>3,65 / A</t>
  </si>
  <si>
    <t>2,97 / B</t>
  </si>
  <si>
    <t>AOHG36LMTA</t>
  </si>
  <si>
    <r>
      <t>AUXG18L</t>
    </r>
    <r>
      <rPr>
        <b/>
        <sz val="8"/>
        <rFont val="Arial Cyr"/>
        <charset val="204"/>
      </rPr>
      <t/>
    </r>
  </si>
  <si>
    <t>AUXG18LRLB</t>
  </si>
  <si>
    <t>AOHG18LBCA</t>
  </si>
  <si>
    <t>AUXG24L</t>
  </si>
  <si>
    <t>AUXG30L</t>
  </si>
  <si>
    <t xml:space="preserve">AUXG36L </t>
  </si>
  <si>
    <t xml:space="preserve">AUXG45L </t>
  </si>
  <si>
    <t xml:space="preserve">AUXG54L </t>
  </si>
  <si>
    <t>AUXG24LRLB</t>
  </si>
  <si>
    <t>AOHG24LBCA</t>
  </si>
  <si>
    <t>AUXG30LRLB</t>
  </si>
  <si>
    <t>AOHG30LBTA</t>
  </si>
  <si>
    <t>AUXG36LRLB</t>
  </si>
  <si>
    <t>AOHG36LBTA</t>
  </si>
  <si>
    <t>AUXG45LRLB</t>
  </si>
  <si>
    <t>AOHG45LBTA</t>
  </si>
  <si>
    <t>AUXG54LRLB</t>
  </si>
  <si>
    <t>AOHG54LBTA</t>
  </si>
  <si>
    <t>4,0 / A</t>
  </si>
  <si>
    <t>3,15 / B</t>
  </si>
  <si>
    <t>3,58 / B</t>
  </si>
  <si>
    <t>3,32 / A</t>
  </si>
  <si>
    <t>3,75 / A</t>
  </si>
  <si>
    <t>3,04 / B</t>
  </si>
  <si>
    <t>3,45 / B</t>
  </si>
  <si>
    <t>AUXG-LRLB</t>
  </si>
  <si>
    <t>Средненапорные тонкие блоки (от 30 до 200 Па)</t>
  </si>
  <si>
    <t>Внутренний блок комплектуется сенсорным проводным пультом и дренажным насосом</t>
  </si>
  <si>
    <t>ARHG12LHTBP</t>
  </si>
  <si>
    <t>ARHG14LHTBP</t>
  </si>
  <si>
    <t>ARHG18LHTBP</t>
  </si>
  <si>
    <t>ARHG24LHTBP</t>
  </si>
  <si>
    <t>ARHG30LHTBP</t>
  </si>
  <si>
    <t>ARHG36LHTBP</t>
  </si>
  <si>
    <t xml:space="preserve">ARHG54LHTBP  </t>
  </si>
  <si>
    <t>3,89 / A</t>
  </si>
  <si>
    <t>AOHG12LBLA</t>
  </si>
  <si>
    <t>ARHG45LHTBP</t>
  </si>
  <si>
    <t>ARHG54LHTBP</t>
  </si>
  <si>
    <t>AOHG14LBLA</t>
  </si>
  <si>
    <t>5,2
(0,9-6,5)</t>
  </si>
  <si>
    <t>6,0
(0,9-8,0)</t>
  </si>
  <si>
    <t>3,64 / A</t>
  </si>
  <si>
    <t>3,8 / A</t>
  </si>
  <si>
    <t>4,05 / A</t>
  </si>
  <si>
    <t>3,7 / A</t>
  </si>
  <si>
    <t>3,37 / A</t>
  </si>
  <si>
    <t>3,87  /A</t>
  </si>
  <si>
    <t>3,03 / B</t>
  </si>
  <si>
    <t>3,46 / B</t>
  </si>
  <si>
    <t>340x1150x280</t>
  </si>
  <si>
    <t xml:space="preserve">246x840x840 </t>
  </si>
  <si>
    <t>53x950x950</t>
  </si>
  <si>
    <t>300x700x700</t>
  </si>
  <si>
    <t>300x1000x700</t>
  </si>
  <si>
    <t>300x1400x700</t>
  </si>
  <si>
    <t>AJH040LBLAH</t>
  </si>
  <si>
    <t>AJH045LBLAH</t>
  </si>
  <si>
    <t>AJH054LBLAH</t>
  </si>
  <si>
    <t xml:space="preserve">Однофазные 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</si>
  <si>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 xml:space="preserve">Трехфазные 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</si>
  <si>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AJH040LELAH</t>
  </si>
  <si>
    <t>AJH045LELAH</t>
  </si>
  <si>
    <t>AJH054LELAH</t>
  </si>
  <si>
    <t>ARXK07GCLH</t>
  </si>
  <si>
    <t>ARXK09GCLH</t>
  </si>
  <si>
    <t>ARXK12GCLH</t>
  </si>
  <si>
    <t>ARXK14GCLH</t>
  </si>
  <si>
    <t>ARXK18GCLH</t>
  </si>
  <si>
    <t>ARXK24GCLH</t>
  </si>
  <si>
    <t>198 x 700 x 450</t>
  </si>
  <si>
    <t>198 x 900 x 450</t>
  </si>
  <si>
    <t>198 x 1100 x 450</t>
  </si>
  <si>
    <t>Низконапорные блоки со встроенным дренажным насосом</t>
  </si>
  <si>
    <t>ASHG09LLCC</t>
  </si>
  <si>
    <t>ASHG07LLCC</t>
  </si>
  <si>
    <t>ASHG12LLCC</t>
  </si>
  <si>
    <t>4,26 / A</t>
  </si>
  <si>
    <t>4,42 / A</t>
  </si>
  <si>
    <t>3,15 / A</t>
  </si>
  <si>
    <t>3,54 / A</t>
  </si>
  <si>
    <t>ABHG22LVTA</t>
  </si>
  <si>
    <t>AOHG90LRLA (3ф.)</t>
  </si>
  <si>
    <t>AOHG72LRLA</t>
  </si>
  <si>
    <t>AUHG36L</t>
  </si>
  <si>
    <t>AUHG45L</t>
  </si>
  <si>
    <t>UTHXWZXZ2</t>
  </si>
  <si>
    <t>AOHG36LBLA5</t>
  </si>
  <si>
    <t>AOHG45LBLA6</t>
  </si>
  <si>
    <t>AJH072LELAH</t>
  </si>
  <si>
    <t>AJH090LELAH</t>
  </si>
  <si>
    <t>ИК-приемник для канальных блоков VRF</t>
  </si>
  <si>
    <t>Управляемые жалюзи для тонких канальных блоков 04-07-09-12-14</t>
  </si>
  <si>
    <t>Управляемые жалюзи для тонких канальных блоков 18</t>
  </si>
  <si>
    <t>Управляемые жалюзи для тонких канальных блоков 24</t>
  </si>
  <si>
    <t>Широкая декоративная панель для полноразмерных кассетных блоков</t>
  </si>
  <si>
    <t>Декоративная проставка между потолком и панелью.</t>
  </si>
  <si>
    <t>Заглушка выпускного отверстия в кассетных блоках</t>
  </si>
  <si>
    <t>Разветвитель для параллельного подключении 2х EEV для</t>
  </si>
  <si>
    <t>Центральный сенсорный пульт управления</t>
  </si>
  <si>
    <t>Интерфейсная плата для подключения проводного пульта или внешнего управления</t>
  </si>
  <si>
    <t>Wi-Fi Controller</t>
  </si>
  <si>
    <t>Интерфейс для LMTA для подключения 2-хпроводного пульта.</t>
  </si>
  <si>
    <t>Конвертор для подключения внутренних блоков к VRF системе</t>
  </si>
  <si>
    <t>Плата для подключения внешнего управления для LMTA</t>
  </si>
  <si>
    <t>Интерфейс для LMTA для подключения 3-хпроводного пульта.</t>
  </si>
  <si>
    <t>Конвертор МОDBus для внутренних блоков</t>
  </si>
  <si>
    <t>Конвертор на MODBus</t>
  </si>
  <si>
    <t>Усилитель сигнала для VRF системы</t>
  </si>
  <si>
    <t>Утилита распределения расходования электроэнергии</t>
  </si>
  <si>
    <t>Комплект изоляции для работы при высокой влажности</t>
  </si>
  <si>
    <t>Датчик присутствия человека для кассетных блоков</t>
  </si>
  <si>
    <t>Плата для подключения внешнего управления для кассет и канальников</t>
  </si>
  <si>
    <t>Кабель подключения внешнего управления</t>
  </si>
  <si>
    <t>AOHG07LLCC</t>
  </si>
  <si>
    <t>AOHG09LLCC</t>
  </si>
  <si>
    <t>AOHG12LLCC</t>
  </si>
  <si>
    <t>AOHG36LBTB (1ф.)</t>
  </si>
  <si>
    <t>AOHG45LBTB (1ф.)</t>
  </si>
  <si>
    <t>AOHG54LBTB (1ф.)</t>
  </si>
  <si>
    <t>AOHG90LRLA</t>
  </si>
  <si>
    <t>AJH108LELAH</t>
  </si>
  <si>
    <t>ARHG07-09LLTA, ARHG12-14LLTB</t>
  </si>
  <si>
    <t>ARHG24LLTB</t>
  </si>
  <si>
    <t>Канальные блоки</t>
  </si>
  <si>
    <t>Только DX Kit</t>
  </si>
  <si>
    <t>Дополнение к UTY-DTGGZ1, устанавливается на компьютер.</t>
  </si>
  <si>
    <t>Канальные блоки ARXD-GALH</t>
  </si>
  <si>
    <t>ARHG36-54LHTBP</t>
  </si>
  <si>
    <t>ARHG24-30LHTBP</t>
  </si>
  <si>
    <t>AUHG-LRLE-LRLA-LRLB</t>
  </si>
  <si>
    <t>AUHG- LRLE-LRLA-LRLB</t>
  </si>
  <si>
    <t>UTY-DCGG</t>
  </si>
  <si>
    <t>Совместно с Системным
контроллером
Lite UTY-ALGX</t>
  </si>
  <si>
    <t>Совместно с Системным
контроллером
Lite UTY-ALGX.</t>
  </si>
  <si>
    <t>Совместно с Системным
контроллером UTY-APGX</t>
  </si>
  <si>
    <t>Сет. конвертер для подключения
группового ПУ UTY-CGGG или для подключения сплит-системы к сети VRF</t>
  </si>
  <si>
    <t>UTY-DCGG, UTY-DTGG</t>
  </si>
  <si>
    <t>UTY-VDGX</t>
  </si>
  <si>
    <t>2,94 / В</t>
  </si>
  <si>
    <t>3,4 / В</t>
  </si>
  <si>
    <t>3,3 / B</t>
  </si>
  <si>
    <t>19 (8,4-20,9)</t>
  </si>
  <si>
    <t>22 (10,3-24,2)</t>
  </si>
  <si>
    <t>27 (8,5-29,7)</t>
  </si>
  <si>
    <t>10 (3,5-12,5)</t>
  </si>
  <si>
    <t>12 (3,5-14)</t>
  </si>
  <si>
    <t>4,1 / А </t>
  </si>
  <si>
    <t>4,3 / А</t>
  </si>
  <si>
    <t>12,5(3,5-14)</t>
  </si>
  <si>
    <t>13,5 (3,5-16)</t>
  </si>
  <si>
    <t>3,5 / В </t>
  </si>
  <si>
    <t>4,0 /А </t>
  </si>
  <si>
    <t>2,69 / А</t>
  </si>
  <si>
    <t>3,16 / А</t>
  </si>
  <si>
    <t>Рекомендованная розничная цена</t>
  </si>
  <si>
    <t>Блок-распределитель на 2 внутренних блока</t>
  </si>
  <si>
    <t>Блок-распределитель на 3 внутренних блока</t>
  </si>
  <si>
    <t xml:space="preserve">Комплект разветвителей </t>
  </si>
  <si>
    <t>В комбинации с блоками-распределителями
и AOHG45LBT8</t>
  </si>
  <si>
    <t>ASHE004GTAH</t>
  </si>
  <si>
    <t>ASHE009GTAH</t>
  </si>
  <si>
    <t>ASHE007GTAH</t>
  </si>
  <si>
    <t>AUXM018GLAH</t>
  </si>
  <si>
    <t>AUXM030GLAH</t>
  </si>
  <si>
    <t>Инверторные сплит-системы напольного типа c встроенным ЭРВ клапаном</t>
  </si>
  <si>
    <t>600х740х200</t>
  </si>
  <si>
    <t>Инверторные сплит-системы напольного типа c выносным ЭРВ клапаном</t>
  </si>
  <si>
    <t>AGHE004GCAH</t>
  </si>
  <si>
    <t>AGHE007GCAH</t>
  </si>
  <si>
    <t>AGHE009GCAH</t>
  </si>
  <si>
    <t>AGHE012GCAH</t>
  </si>
  <si>
    <t>AGHE014GCAH</t>
  </si>
  <si>
    <t>340х1150х280</t>
  </si>
  <si>
    <t>Внутренние блоки кассетного типа  с круговым воздухораспределением (R410a, тепло/холод)(R410a, тепло/холод)</t>
  </si>
  <si>
    <t>AUXK030GLAH</t>
  </si>
  <si>
    <t>288х 840х 840</t>
  </si>
  <si>
    <t>AUXK036GLAH</t>
  </si>
  <si>
    <t>AUXK045GLAH</t>
  </si>
  <si>
    <t>AUXK054GLAH</t>
  </si>
  <si>
    <t>AJH126LELAH</t>
  </si>
  <si>
    <t>AJH144LELAH</t>
  </si>
  <si>
    <t>1428[1080x480</t>
  </si>
  <si>
    <t>AUXK034GLAH</t>
  </si>
  <si>
    <t>AUXK018GLAH</t>
  </si>
  <si>
    <t>Полупромышленная серия - количество комплектов от 15 шт.</t>
  </si>
  <si>
    <t>Мультисплит-система - количество наружных блоков от 5 шт.</t>
  </si>
  <si>
    <t>Мини VRF система - количество наружных блоков от 25 кВт.</t>
  </si>
  <si>
    <t>2) розничная стоимость объекта достигает 30 000 USD</t>
  </si>
  <si>
    <t>Инверторные сплит-системы (исключая Eco3 Inverter)</t>
  </si>
  <si>
    <t>Инверторные сплит-системы Energy Plus (ASHG-LMCA) и Nordic (ASHG-LMCB)</t>
  </si>
  <si>
    <t>Инверторные сплит-системы Eco Server (ASHG-LMTA)</t>
  </si>
  <si>
    <t>ASHG-LFCA(C), ASHG-LMTA</t>
  </si>
  <si>
    <t>Cенсорный проводной пульт с возможностью индивидуального управления жалюзи</t>
  </si>
  <si>
    <t>Плата для подключения внешнего управления AUXG-LRLB</t>
  </si>
  <si>
    <t xml:space="preserve">Заглушка выпускного отверстия в кассетных блоках </t>
  </si>
  <si>
    <t>AUHG-LVLA(B)</t>
  </si>
  <si>
    <t>ARHG12-18LLTB, ARHG24-45LMLA</t>
  </si>
  <si>
    <t>ARHG12-54LHTBP, ARHG72-90LHTA</t>
  </si>
  <si>
    <t>Конвертор (электропитание 12В) для подключения внутреннего блока  к VRF</t>
  </si>
  <si>
    <t>Конвертор (электропитание 220В) для подключения внутреннего блока  к VRF</t>
  </si>
  <si>
    <t>ARHG12-18LLTB</t>
  </si>
  <si>
    <t>ASHG07-14LMCA</t>
  </si>
  <si>
    <t>ASHG07-14LUCA</t>
  </si>
  <si>
    <t>ИК-приемник для кассетных блоков VRF</t>
  </si>
  <si>
    <t>AUXK(M)-GLAH</t>
  </si>
  <si>
    <t xml:space="preserve">Датчик присутствия человека </t>
  </si>
  <si>
    <t>Инверторные сплит-системы (исключая Eco3)</t>
  </si>
  <si>
    <t>для подключения сплит-системы к VRF</t>
  </si>
  <si>
    <t>Фильтр с длительным сроком службы</t>
  </si>
  <si>
    <t>Фильтр с длительным сроком службы </t>
  </si>
  <si>
    <t xml:space="preserve">Управляемые жалюзи для тонких канальных блоков </t>
  </si>
  <si>
    <t>Любой внутренний блок при наличии проводного пульта</t>
  </si>
  <si>
    <t>Для блоков сплит-систем и мультисплит-систем при интеграции в VRF</t>
  </si>
  <si>
    <t>Внутренние блоки настенного типа серии Winner White</t>
  </si>
  <si>
    <t>Внутренний блок комплектуется ИК-пультом и воздушными фильтрами (ионный деодорирующий
и яблочно-катехиновый фильтр)</t>
  </si>
  <si>
    <t>Ресивер</t>
  </si>
  <si>
    <t>AOHG18LBCB</t>
  </si>
  <si>
    <t>AJH162LELAH</t>
  </si>
  <si>
    <t>Обновленный упр. ПДУ двухпроводной(с управлением режимами)</t>
  </si>
  <si>
    <t>Обновленный упр. ПДУ двухпроводной(без управления режимами)</t>
  </si>
  <si>
    <t>Совместим со всеми
внутренними блоками, до-
пускающими подключение 3х жильного
проводного пульта управ-
ления.</t>
  </si>
  <si>
    <t>Комплект соединительных  кабелей для подключения внешнего управления к внутренним блокам</t>
  </si>
  <si>
    <t>UTY-PLGXR1/UTY-PLGXR2</t>
  </si>
  <si>
    <t>UTY-PLGXE2</t>
  </si>
  <si>
    <t>UTY-PEGX/PEGXZ1</t>
  </si>
  <si>
    <t>Совместим только с блоками ARHG72-90LHTA</t>
  </si>
  <si>
    <t xml:space="preserve">Розничная цена </t>
  </si>
  <si>
    <t>Внутренние блоки настенного типа серии Energy Plus</t>
  </si>
  <si>
    <t>совместим с внутренними блоками последнего поколения AGAH</t>
  </si>
  <si>
    <t>Соединительный кабель для подключения нагревателя дренажного поддона</t>
  </si>
  <si>
    <t>e-mail: Dealer@profcond.com</t>
  </si>
  <si>
    <t>www.general-aircond.ru</t>
  </si>
  <si>
    <t>09428, г. Москва, ул. 2-я Синичкина, д. 9А, Бизнес-центр Синица Плаза</t>
  </si>
  <si>
    <t>111020, г. Москва, ул. 2-я Синичкина, д. 9А, Бизнес-центр Синица Плаза</t>
  </si>
  <si>
    <t>AOHG18LALL</t>
  </si>
  <si>
    <t>AOHG24LBCB</t>
  </si>
  <si>
    <t>Инверторные сплит-системы настенного типа (R32, тепло/холод)</t>
  </si>
  <si>
    <t>5,0 / A+++</t>
  </si>
  <si>
    <t>AOHG07KGCA</t>
  </si>
  <si>
    <t>4,5 / A+++</t>
  </si>
  <si>
    <t>AOHG09KGCA</t>
  </si>
  <si>
    <t>4,22 / A+++</t>
  </si>
  <si>
    <t>4,40 / A+++</t>
  </si>
  <si>
    <t>AOHG12KGCA</t>
  </si>
  <si>
    <t>3,57 / A++</t>
  </si>
  <si>
    <t>AOHG14KGCA</t>
  </si>
  <si>
    <t>ASHG07KPCA</t>
  </si>
  <si>
    <t>ASHG09KPCA</t>
  </si>
  <si>
    <t>ASHG12KPCA</t>
  </si>
  <si>
    <t>AOHG07KPCA</t>
  </si>
  <si>
    <t>AOHG09KPCA</t>
  </si>
  <si>
    <t>AOHG12KPCA</t>
  </si>
  <si>
    <t>ASHG18KLCA</t>
  </si>
  <si>
    <t>AOHG18KLTA</t>
  </si>
  <si>
    <t>ASHG24KLCA</t>
  </si>
  <si>
    <t>AOHG24KLTA</t>
  </si>
  <si>
    <t>ASHG18KMTA</t>
  </si>
  <si>
    <t>ASHG24KMTA</t>
  </si>
  <si>
    <t>AOHG18KMTA</t>
  </si>
  <si>
    <t>AOHG24KMTA</t>
  </si>
  <si>
    <t>ASHG07KGTB</t>
  </si>
  <si>
    <t>ASHG09KGTB</t>
  </si>
  <si>
    <t>ASHG12KGTB</t>
  </si>
  <si>
    <t>ASHG14KGTB</t>
  </si>
  <si>
    <t>4,17 / A++</t>
  </si>
  <si>
    <t>3,97 / A+</t>
  </si>
  <si>
    <t>3,52 / A++</t>
  </si>
  <si>
    <t>3,54 / A+</t>
  </si>
  <si>
    <t>3,33 / A+</t>
  </si>
  <si>
    <t>2,93 / A+</t>
  </si>
  <si>
    <t>3,60 / A+</t>
  </si>
  <si>
    <t>3,40 / A++</t>
  </si>
  <si>
    <t>3,09 / A++</t>
  </si>
  <si>
    <t>3,50 / A++</t>
  </si>
  <si>
    <t>4,0 / A+</t>
  </si>
  <si>
    <t xml:space="preserve">ASHE004GTAH </t>
  </si>
  <si>
    <t xml:space="preserve">AUXM018GLAH </t>
  </si>
  <si>
    <t xml:space="preserve">AUXM024GLAH </t>
  </si>
  <si>
    <t>AUXM30GLAH</t>
  </si>
  <si>
    <t>AUXM018GLEH</t>
  </si>
  <si>
    <t>AUXKM024GLEH</t>
  </si>
  <si>
    <t>AUXM030GLEH</t>
  </si>
  <si>
    <t>AUXK018GLEH</t>
  </si>
  <si>
    <t>AUXK054GLEH</t>
  </si>
  <si>
    <t>AUXK045GLEH</t>
  </si>
  <si>
    <t>AUXK036GLEH</t>
  </si>
  <si>
    <t>AUXK034GLEH</t>
  </si>
  <si>
    <t>AUXK030GLEH</t>
  </si>
  <si>
    <t>ASHE004GTEH</t>
  </si>
  <si>
    <t>ASHE007GTEH</t>
  </si>
  <si>
    <t>ASHE009GTEH</t>
  </si>
  <si>
    <t xml:space="preserve">AGHE004GCAH </t>
  </si>
  <si>
    <t xml:space="preserve">AGHE007GCAH </t>
  </si>
  <si>
    <t xml:space="preserve">AGHE009GCAH </t>
  </si>
  <si>
    <t>AGHE012GCEH</t>
  </si>
  <si>
    <t>AGHE009GCEH</t>
  </si>
  <si>
    <t>AGHE007GCEH</t>
  </si>
  <si>
    <t>AGHE004GCEH</t>
  </si>
  <si>
    <t>270x784x224</t>
  </si>
  <si>
    <t>541x663x290</t>
  </si>
  <si>
    <t>293x790x249</t>
  </si>
  <si>
    <t>542x799x290</t>
  </si>
  <si>
    <t>632x799x290</t>
  </si>
  <si>
    <t>270x834x215</t>
  </si>
  <si>
    <t>280x980x240</t>
  </si>
  <si>
    <t>716x820x315</t>
  </si>
  <si>
    <t>Высокая энергоэффективность (Класс A++)</t>
  </si>
  <si>
    <t>AUXB04GLEH</t>
  </si>
  <si>
    <t>AUXB07GLEH</t>
  </si>
  <si>
    <t>AUXB09GLEH</t>
  </si>
  <si>
    <t>AUXB12GLEH</t>
  </si>
  <si>
    <t>AUXB14GLEH</t>
  </si>
  <si>
    <t>AUXB18GLEH</t>
  </si>
  <si>
    <t>AUXB24GLEH</t>
  </si>
  <si>
    <r>
      <t>Общий объем, м</t>
    </r>
    <r>
      <rPr>
        <b/>
        <vertAlign val="superscript"/>
        <sz val="11"/>
        <rFont val="Calibri"/>
        <family val="2"/>
        <charset val="204"/>
        <scheme val="minor"/>
      </rPr>
      <t xml:space="preserve">3  </t>
    </r>
  </si>
  <si>
    <r>
      <t>Объем, м</t>
    </r>
    <r>
      <rPr>
        <b/>
        <vertAlign val="superscript"/>
        <sz val="11"/>
        <color indexed="9"/>
        <rFont val="Calibri"/>
        <family val="2"/>
        <charset val="204"/>
        <scheme val="minor"/>
      </rPr>
      <t>3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</si>
  <si>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(0,9-2,8)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</si>
  <si>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
(0,9-3,4)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</si>
  <si>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</si>
  <si>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(0,9-3,8)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</si>
  <si>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(0,9-3,7)</t>
    </r>
  </si>
  <si>
    <r>
      <rPr>
        <b/>
        <sz val="10"/>
        <color indexed="63"/>
        <rFont val="Calibri"/>
        <family val="2"/>
        <charset val="204"/>
        <scheme val="minor"/>
      </rPr>
      <t xml:space="preserve">3,8
</t>
    </r>
    <r>
      <rPr>
        <sz val="10"/>
        <color indexed="63"/>
        <rFont val="Calibri"/>
        <family val="2"/>
        <charset val="204"/>
        <scheme val="minor"/>
      </rPr>
      <t>(0,9-4,8)</t>
    </r>
  </si>
  <si>
    <r>
      <rPr>
        <b/>
        <sz val="10"/>
        <color indexed="63"/>
        <rFont val="Calibri"/>
        <family val="2"/>
        <charset val="204"/>
        <scheme val="minor"/>
      </rPr>
      <t xml:space="preserve">5,2 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</si>
  <si>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</si>
  <si>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(0,9-7,7)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</si>
  <si>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(0,9-9,0)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</si>
  <si>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</si>
  <si>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(0,9-3,2)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</si>
  <si>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(0,9-4,0)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</si>
  <si>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(0,9-3,9)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</si>
  <si>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(0,9-5,3)</t>
    </r>
  </si>
  <si>
    <r>
      <rPr>
        <b/>
        <sz val="10"/>
        <color indexed="63"/>
        <rFont val="Calibri"/>
        <family val="2"/>
        <charset val="204"/>
        <scheme val="minor"/>
      </rPr>
      <t xml:space="preserve">4,2 
</t>
    </r>
    <r>
      <rPr>
        <sz val="10"/>
        <color indexed="63"/>
        <rFont val="Calibri"/>
        <family val="2"/>
        <charset val="204"/>
        <scheme val="minor"/>
      </rPr>
      <t>(0,9-4,4)</t>
    </r>
  </si>
  <si>
    <r>
      <rPr>
        <b/>
        <sz val="10"/>
        <color indexed="63"/>
        <rFont val="Calibri"/>
        <family val="2"/>
        <charset val="204"/>
        <scheme val="minor"/>
      </rPr>
      <t xml:space="preserve">5,4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</si>
  <si>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5,2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</si>
  <si>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(0,9-8,7)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</si>
  <si>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(0,9-8,3)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</si>
  <si>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(0,9-10,1)</t>
    </r>
  </si>
  <si>
    <r>
      <rPr>
        <b/>
        <sz val="10"/>
        <color indexed="63"/>
        <rFont val="Calibri"/>
        <family val="2"/>
        <charset val="204"/>
        <scheme val="minor"/>
      </rPr>
      <t xml:space="preserve">2,0
</t>
    </r>
    <r>
      <rPr>
        <sz val="10"/>
        <color indexed="63"/>
        <rFont val="Calibri"/>
        <family val="2"/>
        <charset val="204"/>
        <scheme val="minor"/>
      </rPr>
      <t>(0,9-3,2)</t>
    </r>
  </si>
  <si>
    <r>
      <rPr>
        <b/>
        <sz val="10"/>
        <color indexed="63"/>
        <rFont val="Calibri"/>
        <family val="2"/>
        <charset val="204"/>
        <scheme val="minor"/>
      </rPr>
      <t xml:space="preserve">2,5
</t>
    </r>
    <r>
      <rPr>
        <sz val="10"/>
        <color indexed="63"/>
        <rFont val="Calibri"/>
        <family val="2"/>
        <charset val="204"/>
        <scheme val="minor"/>
      </rPr>
      <t>(0,9-5,2)</t>
    </r>
  </si>
  <si>
    <r>
      <rPr>
        <b/>
        <sz val="10"/>
        <color indexed="63"/>
        <rFont val="Calibri"/>
        <family val="2"/>
        <charset val="204"/>
        <scheme val="minor"/>
      </rPr>
      <t xml:space="preserve">2,5
</t>
    </r>
    <r>
      <rPr>
        <sz val="10"/>
        <color indexed="63"/>
        <rFont val="Calibri"/>
        <family val="2"/>
        <charset val="204"/>
        <scheme val="minor"/>
      </rPr>
      <t>(0,9-3,4)</t>
    </r>
  </si>
  <si>
    <r>
      <rPr>
        <b/>
        <sz val="10"/>
        <color indexed="63"/>
        <rFont val="Calibri"/>
        <family val="2"/>
        <charset val="204"/>
        <scheme val="minor"/>
      </rPr>
      <t xml:space="preserve">2,8
</t>
    </r>
    <r>
      <rPr>
        <sz val="10"/>
        <color indexed="63"/>
        <rFont val="Calibri"/>
        <family val="2"/>
        <charset val="204"/>
        <scheme val="minor"/>
      </rPr>
      <t>(0,9-5,4)</t>
    </r>
  </si>
  <si>
    <r>
      <rPr>
        <b/>
        <sz val="10"/>
        <color indexed="63"/>
        <rFont val="Calibri"/>
        <family val="2"/>
        <charset val="204"/>
        <scheme val="minor"/>
      </rPr>
      <t xml:space="preserve">3,4
</t>
    </r>
    <r>
      <rPr>
        <sz val="10"/>
        <color indexed="63"/>
        <rFont val="Calibri"/>
        <family val="2"/>
        <charset val="204"/>
        <scheme val="minor"/>
      </rPr>
      <t>(0,9-4,1)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</si>
  <si>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(0,9-6,1)</t>
    </r>
  </si>
  <si>
    <r>
      <rPr>
        <b/>
        <sz val="10"/>
        <color indexed="63"/>
        <rFont val="Calibri"/>
        <family val="2"/>
        <charset val="204"/>
        <scheme val="minor"/>
      </rPr>
      <t xml:space="preserve">4,2
</t>
    </r>
    <r>
      <rPr>
        <sz val="10"/>
        <color indexed="63"/>
        <rFont val="Calibri"/>
        <family val="2"/>
        <charset val="204"/>
        <scheme val="minor"/>
      </rPr>
      <t>(0,9-4,5)</t>
    </r>
  </si>
  <si>
    <r>
      <rPr>
        <b/>
        <sz val="10"/>
        <color indexed="63"/>
        <rFont val="Calibri"/>
        <family val="2"/>
        <charset val="204"/>
        <scheme val="minor"/>
      </rPr>
      <t xml:space="preserve">5,4
</t>
    </r>
    <r>
      <rPr>
        <sz val="10"/>
        <color indexed="63"/>
        <rFont val="Calibri"/>
        <family val="2"/>
        <charset val="204"/>
        <scheme val="minor"/>
      </rPr>
      <t>(0,9-6,4)</t>
    </r>
  </si>
  <si>
    <r>
      <rPr>
        <b/>
        <sz val="10"/>
        <color indexed="63"/>
        <rFont val="Calibri"/>
        <family val="2"/>
        <charset val="204"/>
        <scheme val="minor"/>
      </rPr>
      <t>2,7</t>
    </r>
    <r>
      <rPr>
        <sz val="10"/>
        <color indexed="63"/>
        <rFont val="Calibri"/>
        <family val="2"/>
        <charset val="204"/>
        <scheme val="minor"/>
      </rPr>
      <t xml:space="preserve">
(0,9-3,6)</t>
    </r>
  </si>
  <si>
    <r>
      <rPr>
        <b/>
        <sz val="10"/>
        <color indexed="63"/>
        <rFont val="Calibri"/>
        <family val="2"/>
        <charset val="204"/>
        <scheme val="minor"/>
      </rPr>
      <t>3,2</t>
    </r>
    <r>
      <rPr>
        <sz val="10"/>
        <color indexed="63"/>
        <rFont val="Calibri"/>
        <family val="2"/>
        <charset val="204"/>
        <scheme val="minor"/>
      </rPr>
      <t xml:space="preserve"> 
(0,9-3,6)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</si>
  <si>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(0,9-3,8)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</si>
  <si>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(0,9-4,6)</t>
    </r>
  </si>
  <si>
    <r>
      <rPr>
        <b/>
        <sz val="10"/>
        <color indexed="63"/>
        <rFont val="Calibri"/>
        <family val="2"/>
        <charset val="204"/>
        <scheme val="minor"/>
      </rPr>
      <t xml:space="preserve">2,1
</t>
    </r>
    <r>
      <rPr>
        <sz val="10"/>
        <color indexed="63"/>
        <rFont val="Calibri"/>
        <family val="2"/>
        <charset val="204"/>
        <scheme val="minor"/>
      </rPr>
      <t>(0,5-3,0)</t>
    </r>
  </si>
  <si>
    <r>
      <rPr>
        <b/>
        <sz val="10"/>
        <color indexed="63"/>
        <rFont val="Calibri"/>
        <family val="2"/>
        <charset val="204"/>
        <scheme val="minor"/>
      </rPr>
      <t xml:space="preserve">3,0
</t>
    </r>
    <r>
      <rPr>
        <sz val="10"/>
        <color indexed="63"/>
        <rFont val="Calibri"/>
        <family val="2"/>
        <charset val="204"/>
        <scheme val="minor"/>
      </rPr>
      <t>(0,5-4,0)</t>
    </r>
  </si>
  <si>
    <r>
      <rPr>
        <b/>
        <sz val="10"/>
        <color indexed="63"/>
        <rFont val="Calibri"/>
        <family val="2"/>
        <charset val="204"/>
        <scheme val="minor"/>
      </rPr>
      <t xml:space="preserve">2,5
</t>
    </r>
    <r>
      <rPr>
        <sz val="10"/>
        <color indexed="63"/>
        <rFont val="Calibri"/>
        <family val="2"/>
        <charset val="204"/>
        <scheme val="minor"/>
      </rPr>
      <t>(0,5-3,2)</t>
    </r>
  </si>
  <si>
    <r>
      <rPr>
        <b/>
        <sz val="10"/>
        <color indexed="63"/>
        <rFont val="Calibri"/>
        <family val="2"/>
        <charset val="204"/>
        <scheme val="minor"/>
      </rPr>
      <t xml:space="preserve">3,2
</t>
    </r>
    <r>
      <rPr>
        <sz val="10"/>
        <color indexed="63"/>
        <rFont val="Calibri"/>
        <family val="2"/>
        <charset val="204"/>
        <scheme val="minor"/>
      </rPr>
      <t>(0,5-4,2)</t>
    </r>
  </si>
  <si>
    <r>
      <rPr>
        <b/>
        <sz val="10"/>
        <color indexed="63"/>
        <rFont val="Calibri"/>
        <family val="2"/>
        <charset val="204"/>
        <scheme val="minor"/>
      </rPr>
      <t xml:space="preserve">3,4
</t>
    </r>
    <r>
      <rPr>
        <sz val="10"/>
        <color indexed="63"/>
        <rFont val="Calibri"/>
        <family val="2"/>
        <charset val="204"/>
        <scheme val="minor"/>
      </rPr>
      <t>(0,9-3,9)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</si>
  <si>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(0,9-5,0)</t>
    </r>
  </si>
  <si>
    <r>
      <rPr>
        <b/>
        <sz val="10"/>
        <color indexed="63"/>
        <rFont val="Calibri"/>
        <family val="2"/>
        <charset val="204"/>
        <scheme val="minor"/>
      </rPr>
      <t xml:space="preserve">5,0
</t>
    </r>
    <r>
      <rPr>
        <sz val="10"/>
        <color indexed="63"/>
        <rFont val="Calibri"/>
        <family val="2"/>
        <charset val="204"/>
        <scheme val="minor"/>
      </rPr>
      <t>(0,9-6,4)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</si>
  <si>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(0,9-9,1)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</si>
  <si>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 xml:space="preserve"> (0,9-8,0)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</si>
  <si>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(0,9-10,6)</t>
    </r>
  </si>
  <si>
    <r>
      <rPr>
        <b/>
        <sz val="10"/>
        <color indexed="63"/>
        <rFont val="Calibri"/>
        <family val="2"/>
        <charset val="204"/>
        <scheme val="minor"/>
      </rPr>
      <t xml:space="preserve">8,0 
</t>
    </r>
    <r>
      <rPr>
        <sz val="10"/>
        <color indexed="63"/>
        <rFont val="Calibri"/>
        <family val="2"/>
        <charset val="204"/>
        <scheme val="minor"/>
      </rPr>
      <t>(2,9-9,0)</t>
    </r>
  </si>
  <si>
    <r>
      <rPr>
        <b/>
        <sz val="10"/>
        <color indexed="63"/>
        <rFont val="Calibri"/>
        <family val="2"/>
        <charset val="204"/>
        <scheme val="minor"/>
      </rPr>
      <t xml:space="preserve">8,8
</t>
    </r>
    <r>
      <rPr>
        <sz val="10"/>
        <color indexed="63"/>
        <rFont val="Calibri"/>
        <family val="2"/>
        <charset val="204"/>
        <scheme val="minor"/>
      </rPr>
      <t>(2,2-11,0)</t>
    </r>
  </si>
  <si>
    <t>Работа в режиме охлаждения до - 15 ˚С, высокая энергоэффективность (Класс A++), ионный деодорирующий фильтр, яблочно-катехиновый фильтр</t>
  </si>
  <si>
    <r>
      <rPr>
        <b/>
        <sz val="10"/>
        <color indexed="63"/>
        <rFont val="Calibri"/>
        <family val="2"/>
        <charset val="204"/>
        <scheme val="minor"/>
      </rPr>
      <t xml:space="preserve">9,4 
</t>
    </r>
    <r>
      <rPr>
        <sz val="10"/>
        <color indexed="63"/>
        <rFont val="Calibri"/>
        <family val="2"/>
        <charset val="204"/>
        <scheme val="minor"/>
      </rPr>
      <t>(2,9-10,0)</t>
    </r>
  </si>
  <si>
    <r>
      <rPr>
        <b/>
        <sz val="10"/>
        <color indexed="63"/>
        <rFont val="Calibri"/>
        <family val="2"/>
        <charset val="204"/>
        <scheme val="minor"/>
      </rPr>
      <t xml:space="preserve">10,1
</t>
    </r>
    <r>
      <rPr>
        <sz val="10"/>
        <color indexed="63"/>
        <rFont val="Calibri"/>
        <family val="2"/>
        <charset val="204"/>
        <scheme val="minor"/>
      </rPr>
      <t>(2,7-11,2)</t>
    </r>
  </si>
  <si>
    <r>
      <rPr>
        <b/>
        <sz val="10"/>
        <color indexed="63"/>
        <rFont val="Calibri"/>
        <family val="2"/>
        <charset val="204"/>
        <scheme val="minor"/>
      </rPr>
      <t xml:space="preserve">3,2
</t>
    </r>
    <r>
      <rPr>
        <sz val="10"/>
        <color indexed="63"/>
        <rFont val="Calibri"/>
        <family val="2"/>
        <charset val="204"/>
        <scheme val="minor"/>
      </rPr>
      <t>(0,5-5,2)</t>
    </r>
  </si>
  <si>
    <r>
      <rPr>
        <b/>
        <sz val="10"/>
        <color indexed="63"/>
        <rFont val="Calibri"/>
        <family val="2"/>
        <charset val="204"/>
        <scheme val="minor"/>
      </rPr>
      <t xml:space="preserve">3,4
</t>
    </r>
    <r>
      <rPr>
        <sz val="10"/>
        <color indexed="63"/>
        <rFont val="Calibri"/>
        <family val="2"/>
        <charset val="204"/>
        <scheme val="minor"/>
      </rPr>
      <t>(0,9-4,15)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</si>
  <si>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(0,9-5,7)</t>
    </r>
  </si>
  <si>
    <r>
      <rPr>
        <b/>
        <sz val="10"/>
        <color indexed="63"/>
        <rFont val="Calibri"/>
        <family val="2"/>
        <charset val="204"/>
        <scheme val="minor"/>
      </rPr>
      <t xml:space="preserve">4,2
</t>
    </r>
    <r>
      <rPr>
        <sz val="10"/>
        <color indexed="63"/>
        <rFont val="Calibri"/>
        <family val="2"/>
        <charset val="204"/>
        <scheme val="minor"/>
      </rPr>
      <t>(1,1-4,8)</t>
    </r>
  </si>
  <si>
    <r>
      <rPr>
        <b/>
        <sz val="10"/>
        <color indexed="63"/>
        <rFont val="Calibri"/>
        <family val="2"/>
        <charset val="204"/>
        <scheme val="minor"/>
      </rPr>
      <t xml:space="preserve">5,4
</t>
    </r>
    <r>
      <rPr>
        <sz val="10"/>
        <color indexed="63"/>
        <rFont val="Calibri"/>
        <family val="2"/>
        <charset val="204"/>
        <scheme val="minor"/>
      </rPr>
      <t>(1,1-6,0)</t>
    </r>
  </si>
  <si>
    <r>
      <rPr>
        <b/>
        <sz val="10"/>
        <color indexed="63"/>
        <rFont val="Calibri"/>
        <family val="2"/>
        <charset val="204"/>
        <scheme val="minor"/>
      </rPr>
      <t xml:space="preserve">2,0 
</t>
    </r>
    <r>
      <rPr>
        <sz val="10"/>
        <color indexed="63"/>
        <rFont val="Calibri"/>
        <family val="2"/>
        <charset val="204"/>
        <scheme val="minor"/>
      </rPr>
      <t>(0,5-3,0)</t>
    </r>
  </si>
  <si>
    <r>
      <rPr>
        <b/>
        <sz val="10"/>
        <color indexed="63"/>
        <rFont val="Calibri"/>
        <family val="2"/>
        <charset val="204"/>
        <scheme val="minor"/>
      </rPr>
      <t>3,0</t>
    </r>
    <r>
      <rPr>
        <sz val="10"/>
        <color indexed="63"/>
        <rFont val="Calibri"/>
        <family val="2"/>
        <charset val="204"/>
        <scheme val="minor"/>
      </rPr>
      <t xml:space="preserve"> 
(0,5-4,0)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</si>
  <si>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(0,5-3,2)</t>
    </r>
  </si>
  <si>
    <r>
      <rPr>
        <b/>
        <sz val="10"/>
        <color indexed="63"/>
        <rFont val="Calibri"/>
        <family val="2"/>
        <charset val="204"/>
        <scheme val="minor"/>
      </rPr>
      <t>3,2</t>
    </r>
    <r>
      <rPr>
        <sz val="10"/>
        <color indexed="63"/>
        <rFont val="Calibri"/>
        <family val="2"/>
        <charset val="204"/>
        <scheme val="minor"/>
      </rPr>
      <t xml:space="preserve"> 
(0,5-4,2)</t>
    </r>
  </si>
  <si>
    <r>
      <rPr>
        <b/>
        <sz val="10"/>
        <color indexed="63"/>
        <rFont val="Calibri"/>
        <family val="2"/>
        <charset val="204"/>
        <scheme val="minor"/>
      </rPr>
      <t>3,4</t>
    </r>
    <r>
      <rPr>
        <sz val="10"/>
        <color indexed="63"/>
        <rFont val="Calibri"/>
        <family val="2"/>
        <charset val="204"/>
        <scheme val="minor"/>
      </rPr>
      <t xml:space="preserve">
(0,9-4,0)</t>
    </r>
  </si>
  <si>
    <r>
      <rPr>
        <b/>
        <sz val="10"/>
        <color indexed="63"/>
        <rFont val="Calibri"/>
        <family val="2"/>
        <charset val="204"/>
        <scheme val="minor"/>
      </rPr>
      <t>4,0</t>
    </r>
    <r>
      <rPr>
        <sz val="10"/>
        <color indexed="63"/>
        <rFont val="Calibri"/>
        <family val="2"/>
        <charset val="204"/>
        <scheme val="minor"/>
      </rPr>
      <t xml:space="preserve"> 
(0,9-5,6)</t>
    </r>
  </si>
  <si>
    <r>
      <rPr>
        <b/>
        <sz val="10"/>
        <color indexed="63"/>
        <rFont val="Calibri"/>
        <family val="2"/>
        <charset val="204"/>
        <scheme val="minor"/>
      </rPr>
      <t>4,2</t>
    </r>
    <r>
      <rPr>
        <sz val="10"/>
        <color indexed="63"/>
        <rFont val="Calibri"/>
        <family val="2"/>
        <charset val="204"/>
        <scheme val="minor"/>
      </rPr>
      <t xml:space="preserve"> 
(0,9-5,0)</t>
    </r>
  </si>
  <si>
    <r>
      <rPr>
        <b/>
        <sz val="10"/>
        <color indexed="63"/>
        <rFont val="Calibri"/>
        <family val="2"/>
        <charset val="204"/>
        <scheme val="minor"/>
      </rPr>
      <t>5,4</t>
    </r>
    <r>
      <rPr>
        <sz val="10"/>
        <color indexed="63"/>
        <rFont val="Calibri"/>
        <family val="2"/>
        <charset val="204"/>
        <scheme val="minor"/>
      </rPr>
      <t xml:space="preserve"> 
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</si>
  <si>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2,5 
</t>
    </r>
    <r>
      <rPr>
        <sz val="10"/>
        <color indexed="63"/>
        <rFont val="Calibri"/>
        <family val="2"/>
        <charset val="204"/>
        <scheme val="minor"/>
      </rPr>
      <t>(0,9-3,5)</t>
    </r>
  </si>
  <si>
    <r>
      <rPr>
        <b/>
        <sz val="10"/>
        <color indexed="63"/>
        <rFont val="Calibri"/>
        <family val="2"/>
        <charset val="204"/>
        <scheme val="minor"/>
      </rPr>
      <t xml:space="preserve">3,2 
</t>
    </r>
    <r>
      <rPr>
        <sz val="10"/>
        <color indexed="63"/>
        <rFont val="Calibri"/>
        <family val="2"/>
        <charset val="204"/>
        <scheme val="minor"/>
      </rPr>
      <t>(0,9-5,4)</t>
    </r>
  </si>
  <si>
    <r>
      <rPr>
        <b/>
        <sz val="10"/>
        <color indexed="63"/>
        <rFont val="Calibri"/>
        <family val="2"/>
        <charset val="204"/>
        <scheme val="minor"/>
      </rPr>
      <t>3,5</t>
    </r>
    <r>
      <rPr>
        <sz val="10"/>
        <color indexed="63"/>
        <rFont val="Calibri"/>
        <family val="2"/>
        <charset val="204"/>
        <scheme val="minor"/>
      </rPr>
      <t xml:space="preserve"> 
(1,1-4,0)</t>
    </r>
  </si>
  <si>
    <r>
      <rPr>
        <b/>
        <sz val="10"/>
        <color indexed="63"/>
        <rFont val="Calibri"/>
        <family val="2"/>
        <charset val="204"/>
        <scheme val="minor"/>
      </rPr>
      <t>4,0</t>
    </r>
    <r>
      <rPr>
        <sz val="10"/>
        <color indexed="63"/>
        <rFont val="Calibri"/>
        <family val="2"/>
        <charset val="204"/>
        <scheme val="minor"/>
      </rPr>
      <t xml:space="preserve"> 
(0,9-6,5)</t>
    </r>
  </si>
  <si>
    <r>
      <rPr>
        <b/>
        <sz val="10"/>
        <color indexed="63"/>
        <rFont val="Calibri"/>
        <family val="2"/>
        <charset val="204"/>
        <scheme val="minor"/>
      </rPr>
      <t>4,2</t>
    </r>
    <r>
      <rPr>
        <sz val="10"/>
        <color indexed="63"/>
        <rFont val="Calibri"/>
        <family val="2"/>
        <charset val="204"/>
        <scheme val="minor"/>
      </rPr>
      <t xml:space="preserve"> 
(0,9-5,4)</t>
    </r>
  </si>
  <si>
    <r>
      <rPr>
        <b/>
        <sz val="10"/>
        <color indexed="63"/>
        <rFont val="Calibri"/>
        <family val="2"/>
        <charset val="204"/>
        <scheme val="minor"/>
      </rPr>
      <t xml:space="preserve">5,4 
</t>
    </r>
    <r>
      <rPr>
        <sz val="10"/>
        <color indexed="63"/>
        <rFont val="Calibri"/>
        <family val="2"/>
        <charset val="204"/>
        <scheme val="minor"/>
      </rPr>
      <t>(0,9-7,0)</t>
    </r>
  </si>
  <si>
    <r>
      <rPr>
        <b/>
        <sz val="10"/>
        <color indexed="63"/>
        <rFont val="Calibri"/>
        <family val="2"/>
        <charset val="204"/>
        <scheme val="minor"/>
      </rPr>
      <t>2,6</t>
    </r>
    <r>
      <rPr>
        <sz val="10"/>
        <color indexed="63"/>
        <rFont val="Calibri"/>
        <family val="2"/>
        <charset val="204"/>
        <scheme val="minor"/>
      </rPr>
      <t xml:space="preserve">
(0,9-3,8)</t>
    </r>
  </si>
  <si>
    <r>
      <t xml:space="preserve">3,5
</t>
    </r>
    <r>
      <rPr>
        <sz val="10"/>
        <color indexed="63"/>
        <rFont val="Calibri"/>
        <family val="2"/>
        <charset val="204"/>
        <scheme val="minor"/>
      </rPr>
      <t>(0,9-5,5)</t>
    </r>
  </si>
  <si>
    <r>
      <t xml:space="preserve">3,5
</t>
    </r>
    <r>
      <rPr>
        <sz val="10"/>
        <color indexed="63"/>
        <rFont val="Calibri"/>
        <family val="2"/>
        <charset val="204"/>
        <scheme val="minor"/>
      </rPr>
      <t>(0,9-4,2)</t>
    </r>
  </si>
  <si>
    <r>
      <t xml:space="preserve">4,5
</t>
    </r>
    <r>
      <rPr>
        <sz val="10"/>
        <color indexed="63"/>
        <rFont val="Calibri"/>
        <family val="2"/>
        <charset val="204"/>
        <scheme val="minor"/>
      </rPr>
      <t>(0,9-5,7)</t>
    </r>
  </si>
  <si>
    <r>
      <t xml:space="preserve">4,2
</t>
    </r>
    <r>
      <rPr>
        <sz val="10"/>
        <color indexed="63"/>
        <rFont val="Calibri"/>
        <family val="2"/>
        <charset val="204"/>
        <scheme val="minor"/>
      </rPr>
      <t>(0,9-5,2)</t>
    </r>
  </si>
  <si>
    <r>
      <t xml:space="preserve">5,2
</t>
    </r>
    <r>
      <rPr>
        <sz val="10"/>
        <color indexed="63"/>
        <rFont val="Calibri"/>
        <family val="2"/>
        <charset val="204"/>
        <scheme val="minor"/>
      </rPr>
      <t>(0,9-6,1)</t>
    </r>
  </si>
  <si>
    <r>
      <t xml:space="preserve">2,6
</t>
    </r>
    <r>
      <rPr>
        <sz val="10"/>
        <color indexed="63"/>
        <rFont val="Calibri"/>
        <family val="2"/>
        <charset val="204"/>
        <scheme val="minor"/>
      </rPr>
      <t>(0,9-3,5)</t>
    </r>
  </si>
  <si>
    <r>
      <t xml:space="preserve">3,5
</t>
    </r>
    <r>
      <rPr>
        <sz val="10"/>
        <rFont val="Calibri"/>
        <family val="2"/>
        <charset val="204"/>
        <scheme val="minor"/>
      </rPr>
      <t>(0,9-4,0)</t>
    </r>
  </si>
  <si>
    <r>
      <t xml:space="preserve">4,5
</t>
    </r>
    <r>
      <rPr>
        <sz val="10"/>
        <color indexed="63"/>
        <rFont val="Calibri"/>
        <family val="2"/>
        <charset val="204"/>
        <scheme val="minor"/>
      </rPr>
      <t>(0,9-6,6)</t>
    </r>
  </si>
  <si>
    <r>
      <t xml:space="preserve">4,2
</t>
    </r>
    <r>
      <rPr>
        <sz val="10"/>
        <rFont val="Calibri"/>
        <family val="2"/>
        <charset val="204"/>
        <scheme val="minor"/>
      </rPr>
      <t>(0,9-4,0)</t>
    </r>
  </si>
  <si>
    <r>
      <t xml:space="preserve">5,2
</t>
    </r>
    <r>
      <rPr>
        <sz val="10"/>
        <color indexed="63"/>
        <rFont val="Calibri"/>
        <family val="2"/>
        <charset val="204"/>
        <scheme val="minor"/>
      </rPr>
      <t>(0,9-6,6)</t>
    </r>
  </si>
  <si>
    <r>
      <rPr>
        <b/>
        <sz val="24"/>
        <color rgb="FFE30017"/>
        <rFont val="Calibri"/>
        <family val="2"/>
        <charset val="204"/>
        <scheme val="minor"/>
      </rPr>
      <t xml:space="preserve">Eco Range 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</t>
    </r>
  </si>
  <si>
    <r>
      <rPr>
        <b/>
        <sz val="24"/>
        <color indexed="10"/>
        <rFont val="Calibri"/>
        <family val="2"/>
        <charset val="204"/>
        <scheme val="minor"/>
      </rPr>
      <t xml:space="preserve">Standard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           </t>
    </r>
  </si>
  <si>
    <r>
      <rPr>
        <b/>
        <sz val="24"/>
        <color rgb="FFE30017"/>
        <rFont val="Calibri"/>
        <family val="2"/>
        <charset val="204"/>
        <scheme val="minor"/>
      </rPr>
      <t>Eco</t>
    </r>
    <r>
      <rPr>
        <b/>
        <vertAlign val="superscript"/>
        <sz val="24"/>
        <color rgb="FFE30017"/>
        <rFont val="Calibri"/>
        <family val="2"/>
        <charset val="204"/>
        <scheme val="minor"/>
      </rPr>
      <t>3</t>
    </r>
    <r>
      <rPr>
        <b/>
        <sz val="24"/>
        <color rgb="FFE30017"/>
        <rFont val="Calibri"/>
        <family val="2"/>
        <charset val="204"/>
        <scheme val="minor"/>
      </rPr>
      <t xml:space="preserve"> Inverter                                            </t>
    </r>
  </si>
  <si>
    <r>
      <rPr>
        <b/>
        <sz val="24"/>
        <color rgb="FFE30017"/>
        <rFont val="Calibri"/>
        <family val="2"/>
        <charset val="204"/>
        <scheme val="minor"/>
      </rPr>
      <t xml:space="preserve">Energy Plus </t>
    </r>
    <r>
      <rPr>
        <sz val="24"/>
        <color indexed="10"/>
        <rFont val="Calibri"/>
        <family val="2"/>
        <charset val="204"/>
        <scheme val="minor"/>
      </rPr>
      <t xml:space="preserve">                                                 </t>
    </r>
  </si>
  <si>
    <r>
      <rPr>
        <b/>
        <sz val="18"/>
        <color indexed="9"/>
        <rFont val="Calibri"/>
        <family val="2"/>
        <charset val="204"/>
        <scheme val="minor"/>
      </rPr>
      <t>Circular Flow</t>
    </r>
    <r>
      <rPr>
        <b/>
        <sz val="14"/>
        <color indexed="9"/>
        <rFont val="Calibri"/>
        <family val="2"/>
        <charset val="204"/>
        <scheme val="minor"/>
      </rPr>
      <t xml:space="preserve">       Cплит-системы кассетного типа с круговой раздачей воздуха (R410a, тепло/холод)</t>
    </r>
  </si>
  <si>
    <r>
      <t xml:space="preserve">Внутренний блок комплектуется сенсорным проводным пультом, дренажным насосом и воздушным фильтром, </t>
    </r>
    <r>
      <rPr>
        <sz val="10"/>
        <color rgb="FFC00000"/>
        <rFont val="Calibri"/>
        <family val="2"/>
        <charset val="204"/>
        <scheme val="minor"/>
      </rPr>
      <t>возможно заказать в черном цвете</t>
    </r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</si>
  <si>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(0,9-6,5)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</si>
  <si>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(0,9-8,0)</t>
    </r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</si>
  <si>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(0,9-8,0)</t>
    </r>
  </si>
  <si>
    <r>
      <rPr>
        <b/>
        <sz val="10"/>
        <rFont val="Calibri"/>
        <family val="2"/>
        <charset val="204"/>
        <scheme val="minor"/>
      </rPr>
      <t>7,8</t>
    </r>
    <r>
      <rPr>
        <sz val="10"/>
        <rFont val="Calibri"/>
        <family val="2"/>
        <charset val="204"/>
        <scheme val="minor"/>
      </rPr>
      <t xml:space="preserve">
(0,9-9,1)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</si>
  <si>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(2,8-10,0)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</si>
  <si>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(2,7-11,2)</t>
    </r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</si>
  <si>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</si>
  <si>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</si>
  <si>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</si>
  <si>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(4,2-16,2)</t>
    </r>
  </si>
  <si>
    <r>
      <rPr>
        <b/>
        <sz val="10"/>
        <rFont val="Calibri"/>
        <family val="2"/>
        <charset val="204"/>
        <scheme val="minor"/>
      </rPr>
      <t>13,3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</si>
  <si>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(4,7-16,5)</t>
    </r>
  </si>
  <si>
    <r>
      <rPr>
        <b/>
        <sz val="18"/>
        <color indexed="9"/>
        <rFont val="Calibri"/>
        <family val="2"/>
        <charset val="204"/>
        <scheme val="minor"/>
      </rPr>
      <t>Euro Cassette</t>
    </r>
    <r>
      <rPr>
        <b/>
        <sz val="14"/>
        <color indexed="9"/>
        <rFont val="Calibri"/>
        <family val="2"/>
        <charset val="204"/>
        <scheme val="minor"/>
      </rPr>
      <t xml:space="preserve">     Cплит-системы кассетного типа компактные  (R410a, тепло/холод)</t>
    </r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</si>
  <si>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(0,9-4,4)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</si>
  <si>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(0,9-5,7)</t>
    </r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</si>
  <si>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</si>
  <si>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(0,9-6,5)</t>
    </r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</si>
  <si>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(0,9-5,9)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</si>
  <si>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(0,9-7,5)</t>
    </r>
  </si>
  <si>
    <r>
      <rPr>
        <b/>
        <sz val="10"/>
        <rFont val="Calibri"/>
        <family val="2"/>
        <charset val="204"/>
        <scheme val="minor"/>
      </rPr>
      <t>7,1</t>
    </r>
    <r>
      <rPr>
        <sz val="10"/>
        <rFont val="Calibri"/>
        <family val="2"/>
        <charset val="204"/>
        <scheme val="minor"/>
      </rPr>
      <t xml:space="preserve">
(0,9-8,0)</t>
    </r>
  </si>
  <si>
    <r>
      <rPr>
        <b/>
        <sz val="10"/>
        <rFont val="Calibri"/>
        <family val="2"/>
        <charset val="204"/>
        <scheme val="minor"/>
      </rPr>
      <t>8,0</t>
    </r>
    <r>
      <rPr>
        <sz val="10"/>
        <rFont val="Calibri"/>
        <family val="2"/>
        <charset val="204"/>
        <scheme val="minor"/>
      </rPr>
      <t xml:space="preserve">
(0,9-9,1)</t>
    </r>
  </si>
  <si>
    <r>
      <rPr>
        <b/>
        <sz val="18"/>
        <color indexed="9"/>
        <rFont val="Calibri"/>
        <family val="2"/>
        <charset val="204"/>
        <scheme val="minor"/>
      </rPr>
      <t>Cassette</t>
    </r>
    <r>
      <rPr>
        <b/>
        <sz val="14"/>
        <color indexed="9"/>
        <rFont val="Calibri"/>
        <family val="2"/>
        <charset val="204"/>
        <scheme val="minor"/>
      </rPr>
      <t xml:space="preserve">      Сплит-системы кассетного типа полноразмерные  (R410a, тепло/холод)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</si>
  <si>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</si>
  <si>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</si>
  <si>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</si>
  <si>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</si>
  <si>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</si>
  <si>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(5,4-16,2)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</si>
  <si>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(5,4-16,0)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</si>
  <si>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(5,8-18,0)</t>
    </r>
  </si>
  <si>
    <r>
      <rPr>
        <b/>
        <sz val="18"/>
        <color indexed="9"/>
        <rFont val="Calibri"/>
        <family val="2"/>
        <charset val="204"/>
        <scheme val="minor"/>
      </rPr>
      <t>Slim Duct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ультракомпактные  (R410a, тепло/холод)</t>
    </r>
  </si>
  <si>
    <r>
      <rPr>
        <b/>
        <sz val="18"/>
        <color indexed="9"/>
        <rFont val="Calibri"/>
        <family val="2"/>
        <charset val="204"/>
        <scheme val="minor"/>
      </rPr>
      <t xml:space="preserve">Duct    </t>
    </r>
    <r>
      <rPr>
        <b/>
        <sz val="14"/>
        <color indexed="9"/>
        <rFont val="Calibri"/>
        <family val="2"/>
        <charset val="204"/>
        <scheme val="minor"/>
      </rPr>
      <t>Сплит-системы канального типа с расширенным диапазоном напора (R410a, тепло/холод)</t>
    </r>
  </si>
  <si>
    <r>
      <t>9,4</t>
    </r>
    <r>
      <rPr>
        <sz val="10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</si>
  <si>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</si>
  <si>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</si>
  <si>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t>13,3</t>
    </r>
    <r>
      <rPr>
        <sz val="10"/>
        <rFont val="Calibri"/>
        <family val="2"/>
        <charset val="204"/>
        <scheme val="minor"/>
      </rPr>
      <t xml:space="preserve">
(4,2-16,2)</t>
    </r>
  </si>
  <si>
    <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</si>
  <si>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t>13,3</t>
    </r>
    <r>
      <rPr>
        <sz val="10"/>
        <rFont val="Calibri"/>
        <family val="2"/>
        <charset val="204"/>
        <scheme val="minor"/>
      </rPr>
      <t xml:space="preserve">
(4,7-16,5)</t>
    </r>
  </si>
  <si>
    <r>
      <rPr>
        <b/>
        <sz val="18"/>
        <color indexed="9"/>
        <rFont val="Calibri"/>
        <family val="2"/>
        <charset val="204"/>
        <scheme val="minor"/>
      </rPr>
      <t>Duct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 (R410a, тепло/холод)</t>
    </r>
  </si>
  <si>
    <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</si>
  <si>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</si>
  <si>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t>12,0</t>
    </r>
    <r>
      <rPr>
        <sz val="10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</si>
  <si>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rFont val="Calibri"/>
        <family val="2"/>
        <charset val="204"/>
        <scheme val="minor"/>
      </rPr>
      <t xml:space="preserve">
(4,2-15,5)</t>
    </r>
  </si>
  <si>
    <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</si>
  <si>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t>14,0</t>
    </r>
    <r>
      <rPr>
        <sz val="10"/>
        <rFont val="Calibri"/>
        <family val="2"/>
        <charset val="204"/>
        <scheme val="minor"/>
      </rPr>
      <t xml:space="preserve">
(5,4-16,2)</t>
    </r>
  </si>
  <si>
    <r>
      <t>12,5</t>
    </r>
    <r>
      <rPr>
        <sz val="10"/>
        <rFont val="Calibri"/>
        <family val="2"/>
        <charset val="204"/>
        <scheme val="minor"/>
      </rPr>
      <t xml:space="preserve">
(4,5-14,0)</t>
    </r>
  </si>
  <si>
    <r>
      <t>14,0</t>
    </r>
    <r>
      <rPr>
        <sz val="10"/>
        <rFont val="Calibri"/>
        <family val="2"/>
        <charset val="204"/>
        <scheme val="minor"/>
      </rPr>
      <t xml:space="preserve">
(5,0-16,2)</t>
    </r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</si>
  <si>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(5,0-14,5)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</si>
  <si>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(5,5-18,0)</t>
    </r>
  </si>
  <si>
    <r>
      <t>14,0</t>
    </r>
    <r>
      <rPr>
        <sz val="10"/>
        <rFont val="Calibri"/>
        <family val="2"/>
        <charset val="204"/>
        <scheme val="minor"/>
      </rPr>
      <t xml:space="preserve">
(5,4-16,0)</t>
    </r>
  </si>
  <si>
    <r>
      <t xml:space="preserve">15
</t>
    </r>
    <r>
      <rPr>
        <sz val="10"/>
        <rFont val="Calibri"/>
        <family val="2"/>
        <charset val="204"/>
        <scheme val="minor"/>
      </rPr>
      <t>(6,2-17,5)</t>
    </r>
  </si>
  <si>
    <r>
      <t xml:space="preserve">18
</t>
    </r>
    <r>
      <rPr>
        <sz val="10"/>
        <rFont val="Calibri"/>
        <family val="2"/>
        <charset val="204"/>
        <scheme val="minor"/>
      </rPr>
      <t>(6,2-20,0)</t>
    </r>
  </si>
  <si>
    <r>
      <t>22,4</t>
    </r>
    <r>
      <rPr>
        <b/>
        <sz val="10"/>
        <color rgb="FF212121"/>
        <rFont val="Calibri"/>
        <family val="2"/>
        <charset val="204"/>
        <scheme val="minor"/>
      </rPr>
      <t> (7,2-24,6)</t>
    </r>
  </si>
  <si>
    <r>
      <t>2,83</t>
    </r>
    <r>
      <rPr>
        <b/>
        <sz val="10"/>
        <color rgb="FF212121"/>
        <rFont val="Calibri"/>
        <family val="2"/>
        <charset val="204"/>
        <scheme val="minor"/>
      </rPr>
      <t> / В</t>
    </r>
  </si>
  <si>
    <r>
      <rPr>
        <b/>
        <sz val="18"/>
        <color indexed="9"/>
        <rFont val="Calibri"/>
        <family val="2"/>
        <charset val="204"/>
        <scheme val="minor"/>
      </rPr>
      <t>Floor/Ceiling</t>
    </r>
    <r>
      <rPr>
        <b/>
        <sz val="14"/>
        <color indexed="9"/>
        <rFont val="Calibri"/>
        <family val="2"/>
        <charset val="204"/>
        <scheme val="minor"/>
      </rPr>
      <t xml:space="preserve">     Сплит-системы напольно-подпотолочного типа  (R410a, тепло/холод, инвертор)</t>
    </r>
  </si>
  <si>
    <r>
      <t xml:space="preserve"> </t>
    </r>
    <r>
      <rPr>
        <b/>
        <sz val="18"/>
        <color indexed="9"/>
        <rFont val="Calibri"/>
        <family val="2"/>
        <charset val="204"/>
        <scheme val="minor"/>
      </rPr>
      <t>Ceiling</t>
    </r>
    <r>
      <rPr>
        <b/>
        <sz val="14"/>
        <color indexed="9"/>
        <rFont val="Calibri"/>
        <family val="2"/>
        <charset val="204"/>
        <scheme val="minor"/>
      </rPr>
      <t xml:space="preserve">     Сплит-системы подпотолочного типа  (R410a, тепло/холод, инвертор)</t>
    </r>
  </si>
  <si>
    <r>
      <t>8,5</t>
    </r>
    <r>
      <rPr>
        <sz val="10"/>
        <color indexed="63"/>
        <rFont val="Calibri"/>
        <family val="2"/>
        <charset val="204"/>
        <scheme val="minor"/>
      </rPr>
      <t xml:space="preserve">
(2,8-10,0)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</si>
  <si>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(2,7-11,2)</t>
    </r>
  </si>
  <si>
    <r>
      <t>9,4</t>
    </r>
    <r>
      <rPr>
        <sz val="10"/>
        <color indexed="63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</si>
  <si>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(2,7-12,7)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</si>
  <si>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</si>
  <si>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(5,0-14,0)</t>
    </r>
  </si>
  <si>
    <r>
      <t>12,0</t>
    </r>
    <r>
      <rPr>
        <sz val="10"/>
        <color indexed="63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</si>
  <si>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color indexed="63"/>
        <rFont val="Calibri"/>
        <family val="2"/>
        <charset val="204"/>
        <scheme val="minor"/>
      </rPr>
      <t xml:space="preserve">
(4,2-15,5)</t>
    </r>
  </si>
  <si>
    <r>
      <t>14,0</t>
    </r>
    <r>
      <rPr>
        <sz val="10"/>
        <color indexed="63"/>
        <rFont val="Calibri"/>
        <family val="2"/>
        <charset val="204"/>
        <scheme val="minor"/>
      </rPr>
      <t xml:space="preserve">
(5,4-16,0)</t>
    </r>
  </si>
  <si>
    <r>
      <t>16,0</t>
    </r>
    <r>
      <rPr>
        <sz val="10"/>
        <color indexed="63"/>
        <rFont val="Calibri"/>
        <family val="2"/>
        <charset val="204"/>
        <scheme val="minor"/>
      </rPr>
      <t xml:space="preserve">
(5,8-18,0)</t>
    </r>
  </si>
  <si>
    <r>
      <t xml:space="preserve">4,0
</t>
    </r>
    <r>
      <rPr>
        <sz val="10"/>
        <color indexed="63"/>
        <rFont val="Calibri"/>
        <family val="2"/>
        <charset val="204"/>
        <scheme val="minor"/>
      </rPr>
      <t>(1,4-4,4)</t>
    </r>
  </si>
  <si>
    <r>
      <t xml:space="preserve">4,4
</t>
    </r>
    <r>
      <rPr>
        <sz val="10"/>
        <color indexed="63"/>
        <rFont val="Calibri"/>
        <family val="2"/>
        <charset val="204"/>
        <scheme val="minor"/>
      </rPr>
      <t>(1,1-5,4)</t>
    </r>
  </si>
  <si>
    <r>
      <t xml:space="preserve">5,0
</t>
    </r>
    <r>
      <rPr>
        <sz val="10"/>
        <color indexed="63"/>
        <rFont val="Calibri"/>
        <family val="2"/>
        <charset val="204"/>
        <scheme val="minor"/>
      </rPr>
      <t>(1,7-5,6)</t>
    </r>
  </si>
  <si>
    <r>
      <t xml:space="preserve">5,6
</t>
    </r>
    <r>
      <rPr>
        <sz val="10"/>
        <color indexed="63"/>
        <rFont val="Calibri"/>
        <family val="2"/>
        <charset val="204"/>
        <scheme val="minor"/>
      </rPr>
      <t>(1,8-6,1)</t>
    </r>
  </si>
  <si>
    <r>
      <t xml:space="preserve">5,4
</t>
    </r>
    <r>
      <rPr>
        <sz val="10"/>
        <color indexed="63"/>
        <rFont val="Calibri"/>
        <family val="2"/>
        <charset val="204"/>
        <scheme val="minor"/>
      </rPr>
      <t>(1,8-6,8)</t>
    </r>
  </si>
  <si>
    <r>
      <t xml:space="preserve">6,8
</t>
    </r>
    <r>
      <rPr>
        <sz val="10"/>
        <color indexed="63"/>
        <rFont val="Calibri"/>
        <family val="2"/>
        <charset val="204"/>
        <scheme val="minor"/>
      </rPr>
      <t>(2,0-8,0)</t>
    </r>
  </si>
  <si>
    <r>
      <t xml:space="preserve">6,8
</t>
    </r>
    <r>
      <rPr>
        <sz val="10"/>
        <color indexed="63"/>
        <rFont val="Calibri"/>
        <family val="2"/>
        <charset val="204"/>
        <scheme val="minor"/>
      </rPr>
      <t>(1,8-8,5)</t>
    </r>
  </si>
  <si>
    <r>
      <t xml:space="preserve">8,0
</t>
    </r>
    <r>
      <rPr>
        <sz val="10"/>
        <color indexed="63"/>
        <rFont val="Calibri"/>
        <family val="2"/>
        <charset val="204"/>
        <scheme val="minor"/>
      </rPr>
      <t>(2,0-9,2)</t>
    </r>
  </si>
  <si>
    <r>
      <t xml:space="preserve">8,0
</t>
    </r>
    <r>
      <rPr>
        <sz val="10"/>
        <color indexed="63"/>
        <rFont val="Calibri"/>
        <family val="2"/>
        <charset val="204"/>
        <scheme val="minor"/>
      </rPr>
      <t>(3,5-10,1)</t>
    </r>
  </si>
  <si>
    <r>
      <t xml:space="preserve">9,6
</t>
    </r>
    <r>
      <rPr>
        <sz val="10"/>
        <color indexed="63"/>
        <rFont val="Calibri"/>
        <family val="2"/>
        <charset val="204"/>
        <scheme val="minor"/>
      </rPr>
      <t>(3,7-12,0)</t>
    </r>
  </si>
  <si>
    <r>
      <t xml:space="preserve">Наружные блоки мини-J IIS  (R410a, тепло/холод) </t>
    </r>
    <r>
      <rPr>
        <b/>
        <sz val="16"/>
        <color indexed="9"/>
        <rFont val="Calibri"/>
        <family val="2"/>
        <charset val="204"/>
        <scheme val="minor"/>
      </rPr>
      <t xml:space="preserve">                </t>
    </r>
    <r>
      <rPr>
        <b/>
        <sz val="14"/>
        <color indexed="9"/>
        <rFont val="Arial"/>
        <family val="2"/>
        <charset val="204"/>
      </rPr>
      <t/>
    </r>
  </si>
  <si>
    <r>
      <t xml:space="preserve">ASHE007GTAH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</si>
  <si>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r>
      <t xml:space="preserve">ASHE009GTAH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</si>
  <si>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r>
      <t xml:space="preserve">ASHE012GCAH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</si>
  <si>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r>
      <t xml:space="preserve">ASHE014GCAH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</si>
  <si>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34998626667073579"/>
        <rFont val="Calibri"/>
        <family val="2"/>
        <charset val="204"/>
        <scheme val="minor"/>
      </rPr>
      <t>Телефон:</t>
    </r>
    <r>
      <rPr>
        <sz val="14"/>
        <rFont val="Calibri"/>
        <family val="2"/>
        <charset val="204"/>
        <scheme val="minor"/>
      </rPr>
      <t xml:space="preserve"> 
</t>
    </r>
    <r>
      <rPr>
        <b/>
        <sz val="16"/>
        <color rgb="FFFF0000"/>
        <rFont val="Calibri"/>
        <family val="2"/>
        <charset val="204"/>
        <scheme val="minor"/>
      </rPr>
      <t>8-495-660-11-11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</si>
  <si>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8-800-100-44-44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</si>
  <si>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8(495)660-20-49</t>
    </r>
    <r>
      <rPr>
        <sz val="10"/>
        <rFont val="Calibri"/>
        <family val="2"/>
        <charset val="204"/>
        <scheme val="minor"/>
      </rPr>
      <t xml:space="preserve">
</t>
    </r>
  </si>
  <si>
    <r>
      <t>Транспортная Компания "ПЭК" организует автомобильные перевозки грузов в любой населённый пункт, расположенный в пределах 300 км от каждого из 100 филиалов компании, которые разбросаны по всей стране и связаны единой информационной сетью</t>
    </r>
    <r>
      <rPr>
        <b/>
        <sz val="10"/>
        <rFont val="Calibri"/>
        <family val="2"/>
        <charset val="204"/>
        <scheme val="minor"/>
      </rPr>
      <t xml:space="preserve">. Доставка грузов отслеживается сотрудниками Компании "ПЭК" в реальном времени, клиентам может быть предоставлено e-mail либо SMS-оповещение. </t>
    </r>
  </si>
  <si>
    <r>
      <t xml:space="preserve">Транспортная компания «Мейджик Транс» обеспечивает высокие стандарты безопасности. Все перемещения транспорта отслеживаются спутниковыми системами. А единая информационная сеть, объединяющая наши филиалы, упрощает поиск информации по грузам позволяя контролировать любое перемещение груза.
</t>
    </r>
    <r>
      <rPr>
        <b/>
        <sz val="10"/>
        <rFont val="Calibri"/>
        <family val="2"/>
        <charset val="204"/>
        <scheme val="minor"/>
      </rPr>
      <t>В каждом филиале, транспортной компании «Мейджик Транс», имеется оборудованный склад, оснащенный всеми необходимыми техническими средствами.</t>
    </r>
  </si>
  <si>
    <r>
      <rPr>
        <sz val="10"/>
        <rFont val="Calibri"/>
        <family val="2"/>
        <charset val="204"/>
        <scheme val="minor"/>
      </rPr>
      <t xml:space="preserve">«ГлавДоставка» — перспективная, динамично развивающаяся транспортная компания по грузоперевозкам, оказывающая весь спектр услуг по доставке и обработке грузов различного назначения.  </t>
    </r>
    <r>
      <rPr>
        <b/>
        <sz val="10"/>
        <rFont val="Calibri"/>
        <family val="2"/>
        <charset val="204"/>
        <scheme val="minor"/>
      </rPr>
      <t>«ГлавДоставка» осуществляет грузоперевозки по всей России и за ее пределами, поэтому любой ваш груз,будет вовремя доставлен получателю.</t>
    </r>
  </si>
  <si>
    <r>
      <t xml:space="preserve">Регистрация технико-коммерческого предложения (ТКП) в единой базе GENERAL позволяет защитить интересы компаний, ведущих активное продвижение </t>
    </r>
    <r>
      <rPr>
        <b/>
        <sz val="10"/>
        <color rgb="FFC00000"/>
        <rFont val="Calibri"/>
        <family val="2"/>
        <charset val="204"/>
        <scheme val="minor"/>
      </rPr>
      <t>GENERAL</t>
    </r>
    <r>
      <rPr>
        <sz val="10"/>
        <rFont val="Calibri"/>
        <family val="2"/>
        <charset val="204"/>
        <scheme val="minor"/>
      </rPr>
      <t xml:space="preserve">.  </t>
    </r>
  </si>
  <si>
    <r>
      <rPr>
        <b/>
        <sz val="24"/>
        <color rgb="FFE30017"/>
        <rFont val="Calibri"/>
        <family val="2"/>
        <charset val="204"/>
        <scheme val="minor"/>
      </rPr>
      <t>Hi-Spec Design</t>
    </r>
    <r>
      <rPr>
        <sz val="24"/>
        <color indexed="10"/>
        <rFont val="Calibri"/>
        <family val="2"/>
        <charset val="204"/>
        <scheme val="minor"/>
      </rPr>
      <t xml:space="preserve">                                               </t>
    </r>
  </si>
  <si>
    <t>Designer</t>
  </si>
  <si>
    <t>ASHG07KETA</t>
  </si>
  <si>
    <t>ASHG07KETA-B</t>
  </si>
  <si>
    <t>AOHG07KETA</t>
  </si>
  <si>
    <t>ASHG09KETA</t>
  </si>
  <si>
    <t>AOHG09LKETA</t>
  </si>
  <si>
    <t>ASHG09KETA-B</t>
  </si>
  <si>
    <t>ASHG12KETA</t>
  </si>
  <si>
    <t>AOHG12KETA</t>
  </si>
  <si>
    <t>ASHG12KETA-B</t>
  </si>
  <si>
    <t>ASHG14KETA</t>
  </si>
  <si>
    <t>AOHG14KETA</t>
  </si>
  <si>
    <t>ASHG14KETA-B</t>
  </si>
  <si>
    <t>Nocria X</t>
  </si>
  <si>
    <t>ASHG12KXCA</t>
  </si>
  <si>
    <t>AOHG12KXCA</t>
  </si>
  <si>
    <t>5,09 / A</t>
  </si>
  <si>
    <t>4,9 / A</t>
  </si>
  <si>
    <t>293x786x378</t>
  </si>
  <si>
    <t>704x820x315</t>
  </si>
  <si>
    <t>Технология Dual Blaster, автоматическая очистка фильтров, плазменный фильтр, датчик движения, Wi-Fi адаптер в комплекте</t>
  </si>
  <si>
    <t>ASHG30KMTA</t>
  </si>
  <si>
    <t>AOHG30KMTA</t>
  </si>
  <si>
    <r>
      <rPr>
        <b/>
        <sz val="10"/>
        <color indexed="63"/>
        <rFont val="Calibri"/>
        <family val="2"/>
        <charset val="204"/>
        <scheme val="minor"/>
      </rPr>
      <t xml:space="preserve">2,0 
</t>
    </r>
    <r>
      <rPr>
        <sz val="10"/>
        <color indexed="63"/>
        <rFont val="Calibri"/>
        <family val="2"/>
        <charset val="204"/>
        <scheme val="minor"/>
      </rPr>
      <t>(0,9-3,0)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</si>
  <si>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(0,9-3,4)</t>
    </r>
  </si>
  <si>
    <t>4,52 / A</t>
  </si>
  <si>
    <t>295x950x230</t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</si>
  <si>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
(0,9-4,0)</t>
    </r>
  </si>
  <si>
    <r>
      <rPr>
        <b/>
        <sz val="10"/>
        <color indexed="63"/>
        <rFont val="Calibri"/>
        <family val="2"/>
        <charset val="204"/>
        <scheme val="minor"/>
      </rPr>
      <t>3,4</t>
    </r>
    <r>
      <rPr>
        <sz val="10"/>
        <color indexed="63"/>
        <rFont val="Calibri"/>
        <family val="2"/>
        <charset val="204"/>
        <scheme val="minor"/>
      </rPr>
      <t xml:space="preserve">
(0,9-3,9)</t>
    </r>
  </si>
  <si>
    <r>
      <rPr>
        <b/>
        <sz val="10"/>
        <color indexed="63"/>
        <rFont val="Calibri"/>
        <family val="2"/>
        <charset val="204"/>
        <scheme val="minor"/>
      </rPr>
      <t>4,0</t>
    </r>
    <r>
      <rPr>
        <sz val="10"/>
        <color indexed="63"/>
        <rFont val="Calibri"/>
        <family val="2"/>
        <charset val="204"/>
        <scheme val="minor"/>
      </rPr>
      <t xml:space="preserve"> 
(0,9-5,3)</t>
    </r>
  </si>
  <si>
    <t>4,17 / A</t>
  </si>
  <si>
    <r>
      <rPr>
        <b/>
        <sz val="10"/>
        <color indexed="63"/>
        <rFont val="Calibri"/>
        <family val="2"/>
        <charset val="204"/>
        <scheme val="minor"/>
      </rPr>
      <t>4,2</t>
    </r>
    <r>
      <rPr>
        <sz val="10"/>
        <color indexed="63"/>
        <rFont val="Calibri"/>
        <family val="2"/>
        <charset val="204"/>
        <scheme val="minor"/>
      </rPr>
      <t xml:space="preserve"> 
(0,9-4,4)</t>
    </r>
  </si>
  <si>
    <t>3,44 / A</t>
  </si>
  <si>
    <t>3,83 / A</t>
  </si>
  <si>
    <t>Высокая энергоэффективность (Класс A++), датчик движения, уровень шума 19 дБ</t>
  </si>
  <si>
    <t>ASHG07KMСС</t>
  </si>
  <si>
    <t>AOHG07KMСС</t>
  </si>
  <si>
    <t>ASHG09KMСС</t>
  </si>
  <si>
    <t>AOHG09KMСС</t>
  </si>
  <si>
    <t>ASHG12KMСС</t>
  </si>
  <si>
    <t>AOHG12KMСС</t>
  </si>
  <si>
    <t>ASHG14KMСС</t>
  </si>
  <si>
    <t>AOHG14KMСС</t>
  </si>
  <si>
    <t>ASHG36KMTA</t>
  </si>
  <si>
    <t>AOHG36KMTA</t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</si>
  <si>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(2,9-9,0)</t>
    </r>
  </si>
  <si>
    <t>3,41 / A</t>
  </si>
  <si>
    <t>4,19 / A</t>
  </si>
  <si>
    <t>3,74 / A</t>
  </si>
  <si>
    <t>4 / A</t>
  </si>
  <si>
    <r>
      <rPr>
        <b/>
        <sz val="10"/>
        <color indexed="63"/>
        <rFont val="Calibri"/>
        <family val="2"/>
        <charset val="204"/>
        <scheme val="minor"/>
      </rPr>
      <t xml:space="preserve">9,4
</t>
    </r>
    <r>
      <rPr>
        <sz val="10"/>
        <color indexed="63"/>
        <rFont val="Calibri"/>
        <family val="2"/>
        <charset val="204"/>
        <scheme val="minor"/>
      </rPr>
      <t>(2,9-10,0)</t>
    </r>
  </si>
  <si>
    <t>2,97 / A</t>
  </si>
  <si>
    <t>405x1270x450</t>
  </si>
  <si>
    <t>966x1027x445</t>
  </si>
  <si>
    <t>AOHG09KETA</t>
  </si>
  <si>
    <t>UTYRVNGM</t>
  </si>
  <si>
    <t>UTYRNNGM</t>
  </si>
  <si>
    <t>UTYXCBXZ2</t>
  </si>
  <si>
    <t>UTYTFNXZ1</t>
  </si>
  <si>
    <t>UTYTWRX</t>
  </si>
  <si>
    <t>UTYVTGX</t>
  </si>
  <si>
    <t>UTYVTGXV</t>
  </si>
  <si>
    <t>UTYXCSXZ1</t>
  </si>
  <si>
    <t>UTYXWNX</t>
  </si>
  <si>
    <t>UTYVMSX</t>
  </si>
  <si>
    <t>UTYRSNGM</t>
  </si>
  <si>
    <t>UTYRNRGZ1</t>
  </si>
  <si>
    <t>UTYTWBXF</t>
  </si>
  <si>
    <t>UTYVGGXZ1</t>
  </si>
  <si>
    <t>FJRCKNX1i</t>
  </si>
  <si>
    <t>FJRCMBS1</t>
  </si>
  <si>
    <t>FJRCWIFI1</t>
  </si>
  <si>
    <t>UTYASSX</t>
  </si>
  <si>
    <t>UTYXWZX</t>
  </si>
  <si>
    <t>UTYXWZXZ5</t>
  </si>
  <si>
    <t>UTRSTA</t>
  </si>
  <si>
    <t>Ваша скидка на бытовые сплит-системы:</t>
  </si>
  <si>
    <t>Ваш заказ</t>
  </si>
  <si>
    <t>Вес брутто, кг</t>
  </si>
  <si>
    <t>Внутренний блок комплектуется сенсорным проводным пультом, дренажным насосом и воздушным фильтром</t>
  </si>
  <si>
    <r>
      <rPr>
        <b/>
        <sz val="18"/>
        <color indexed="9"/>
        <rFont val="Calibri"/>
        <family val="2"/>
        <charset val="204"/>
        <scheme val="minor"/>
      </rPr>
      <t>Circular Flow</t>
    </r>
    <r>
      <rPr>
        <b/>
        <sz val="14"/>
        <color indexed="9"/>
        <rFont val="Calibri"/>
        <family val="2"/>
        <charset val="204"/>
        <scheme val="minor"/>
      </rPr>
      <t xml:space="preserve">       Cплит-системы кассетного типа с круговой раздачей воздуха (R32, тепло/холод)</t>
    </r>
  </si>
  <si>
    <t>AUXG18KRLB</t>
  </si>
  <si>
    <t>AUXG18K</t>
  </si>
  <si>
    <t>AOHG18KBTB</t>
  </si>
  <si>
    <t>AUXG22K</t>
  </si>
  <si>
    <t>AUXG22KRLB</t>
  </si>
  <si>
    <t>AOHG22KBTB</t>
  </si>
  <si>
    <t>AUXG24K</t>
  </si>
  <si>
    <t>AUXG24KRLB</t>
  </si>
  <si>
    <t>AOHG24KBTB</t>
  </si>
  <si>
    <t>AUXG30K</t>
  </si>
  <si>
    <t>AUXG30KRLB</t>
  </si>
  <si>
    <t>AOHG30KBTB</t>
  </si>
  <si>
    <t>AUXG36KRLB</t>
  </si>
  <si>
    <t>AOHG36KBTB</t>
  </si>
  <si>
    <t>AUXG45KRLB</t>
  </si>
  <si>
    <t>AOHG45KBTB</t>
  </si>
  <si>
    <t>AUXG54KRLB</t>
  </si>
  <si>
    <t>AOHG54KBTB</t>
  </si>
  <si>
    <t>3,82 / A</t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</si>
  <si>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(0,9-6,7)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</si>
  <si>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(0,9-8,0)</t>
    </r>
  </si>
  <si>
    <t>3,51 / A</t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</si>
  <si>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(0,9-9,1)</t>
    </r>
  </si>
  <si>
    <t>3,98 / A</t>
  </si>
  <si>
    <t>3,95 / A</t>
  </si>
  <si>
    <t>3,26 / A</t>
  </si>
  <si>
    <t>4,4 / A</t>
  </si>
  <si>
    <t>AUXG36K (1 ф.)</t>
  </si>
  <si>
    <t>AUXG36K (3 ф.)</t>
  </si>
  <si>
    <t>788x940x320</t>
  </si>
  <si>
    <t>AOHG36KRTA</t>
  </si>
  <si>
    <t>AUXG45K (1 ф.)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</si>
  <si>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</si>
  <si>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(4,2-16,2)</t>
    </r>
  </si>
  <si>
    <t>3,35 / A</t>
  </si>
  <si>
    <t>4,2 / A</t>
  </si>
  <si>
    <t>998x940x320</t>
  </si>
  <si>
    <t>AUXG45K (3 ф.)</t>
  </si>
  <si>
    <t>AOHG45KRTA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</si>
  <si>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</si>
  <si>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(4,7-16,5)</t>
    </r>
  </si>
  <si>
    <t>3,73 / A</t>
  </si>
  <si>
    <t>AUXG54K (1 ф.)</t>
  </si>
  <si>
    <t>AUXG54K (3 ф.)</t>
  </si>
  <si>
    <t>AOHG54KRTA</t>
  </si>
  <si>
    <r>
      <rPr>
        <b/>
        <sz val="18"/>
        <color indexed="9"/>
        <rFont val="Calibri"/>
        <family val="2"/>
        <charset val="204"/>
        <scheme val="minor"/>
      </rPr>
      <t>Circular Flow Eco</t>
    </r>
    <r>
      <rPr>
        <b/>
        <sz val="14"/>
        <color indexed="9"/>
        <rFont val="Calibri"/>
        <family val="2"/>
        <charset val="204"/>
        <scheme val="minor"/>
      </rPr>
      <t xml:space="preserve">       Cплит-системы кассетного типа с круговой раздачей воздуха (R32, тепло/холод)</t>
    </r>
  </si>
  <si>
    <t>AOHG18KATA</t>
  </si>
  <si>
    <t>AOHG22KATA</t>
  </si>
  <si>
    <t>AOHG24KATA</t>
  </si>
  <si>
    <t>AOHG30KATA</t>
  </si>
  <si>
    <t>AOHG36KATA</t>
  </si>
  <si>
    <t>AOHG36KQTA</t>
  </si>
  <si>
    <t>AOHG45KATA</t>
  </si>
  <si>
    <t>AOHG45KQTA</t>
  </si>
  <si>
    <t>AOHG54KATA</t>
  </si>
  <si>
    <t>AOHG54KQTA</t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</si>
  <si>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</si>
  <si>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(0,9-6,3)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</si>
  <si>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(0,9-7,4)</t>
    </r>
  </si>
  <si>
    <t>3,24 / A</t>
  </si>
  <si>
    <t>3,63 / A</t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</si>
  <si>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(0,9-7,4)</t>
    </r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</si>
  <si>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(0,9-8,6)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</si>
  <si>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(2,8-9,6)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</si>
  <si>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(2,7-10,8)</t>
    </r>
  </si>
  <si>
    <t>3,79 / A</t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</si>
  <si>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(2,8-10,6)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</si>
  <si>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(2,7-12,5)</t>
    </r>
  </si>
  <si>
    <t>3,1 / A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</si>
  <si>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(4,0-12,6)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</si>
  <si>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(4,2-15,0)</t>
    </r>
  </si>
  <si>
    <t>2,8 / B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</si>
  <si>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(4,5-13,8)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</si>
  <si>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(4,7-16,0)</t>
    </r>
  </si>
  <si>
    <t>2,75 / B</t>
  </si>
  <si>
    <r>
      <rPr>
        <b/>
        <sz val="18"/>
        <color indexed="9"/>
        <rFont val="Calibri"/>
        <family val="2"/>
        <charset val="204"/>
        <scheme val="minor"/>
      </rPr>
      <t>Euro Cassette</t>
    </r>
    <r>
      <rPr>
        <b/>
        <sz val="14"/>
        <color indexed="9"/>
        <rFont val="Calibri"/>
        <family val="2"/>
        <charset val="204"/>
        <scheme val="minor"/>
      </rPr>
      <t xml:space="preserve">     Cплит-системы кассетного типа компактные  (R32, тепло/холод)</t>
    </r>
  </si>
  <si>
    <t>AOHG09KBTB</t>
  </si>
  <si>
    <t>AOHG12KBTB</t>
  </si>
  <si>
    <t>AOHG14KBTB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</si>
  <si>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(0,9-3,2)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</si>
  <si>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(0,9-4,7)</t>
    </r>
  </si>
  <si>
    <t>4,57 / A</t>
  </si>
  <si>
    <t xml:space="preserve">4,05 /A </t>
  </si>
  <si>
    <t>3,76 / A</t>
  </si>
  <si>
    <t xml:space="preserve">3,8 /A </t>
  </si>
  <si>
    <t>3,36 / A</t>
  </si>
  <si>
    <r>
      <rPr>
        <b/>
        <sz val="10"/>
        <rFont val="Calibri"/>
        <family val="2"/>
        <charset val="204"/>
        <scheme val="minor"/>
      </rPr>
      <t>7,1</t>
    </r>
    <r>
      <rPr>
        <sz val="10"/>
        <rFont val="Calibri"/>
        <family val="2"/>
        <charset val="204"/>
        <scheme val="minor"/>
      </rPr>
      <t xml:space="preserve">
(0,9-6,7)</t>
    </r>
  </si>
  <si>
    <r>
      <rPr>
        <b/>
        <sz val="10"/>
        <rFont val="Calibri"/>
        <family val="2"/>
        <charset val="204"/>
        <scheme val="minor"/>
      </rPr>
      <t>8,0</t>
    </r>
    <r>
      <rPr>
        <sz val="10"/>
        <rFont val="Calibri"/>
        <family val="2"/>
        <charset val="204"/>
        <scheme val="minor"/>
      </rPr>
      <t xml:space="preserve">
(0,9-8,0)</t>
    </r>
  </si>
  <si>
    <t>3,3 / A</t>
  </si>
  <si>
    <t>49x620x620</t>
  </si>
  <si>
    <r>
      <rPr>
        <b/>
        <sz val="18"/>
        <color indexed="9"/>
        <rFont val="Calibri"/>
        <family val="2"/>
        <charset val="204"/>
        <scheme val="minor"/>
      </rPr>
      <t>Euro Cassette Eco</t>
    </r>
    <r>
      <rPr>
        <b/>
        <sz val="14"/>
        <color indexed="9"/>
        <rFont val="Calibri"/>
        <family val="2"/>
        <charset val="204"/>
        <scheme val="minor"/>
      </rPr>
      <t xml:space="preserve">     Cплит-системы кассетного типа компактные  (R32, тепло/холод)</t>
    </r>
  </si>
  <si>
    <t>AOHG09KATA</t>
  </si>
  <si>
    <t>AOHG12KATA</t>
  </si>
  <si>
    <t>AOHG14KATA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</si>
  <si>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(0,9-2,7)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</si>
  <si>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(0,9-3,9)</t>
    </r>
  </si>
  <si>
    <t xml:space="preserve">3,64 /A </t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</si>
  <si>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(0,9-3,7)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</si>
  <si>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(0,9-4,4)</t>
    </r>
  </si>
  <si>
    <t xml:space="preserve">3,5 /A </t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</si>
  <si>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(0,9-4,5)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</si>
  <si>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(0,9-5,3)</t>
    </r>
  </si>
  <si>
    <t>3,14 / A</t>
  </si>
  <si>
    <t>UTZKXRA</t>
  </si>
  <si>
    <t>UTYXCSX</t>
  </si>
  <si>
    <t>UTYXWZXZG</t>
  </si>
  <si>
    <t>UTYXSZX</t>
  </si>
  <si>
    <t>UTDECS5A</t>
  </si>
  <si>
    <t>UTYXWZXZ2</t>
  </si>
  <si>
    <t xml:space="preserve">UTYYDZB </t>
  </si>
  <si>
    <t>UTZKXGC</t>
  </si>
  <si>
    <t>UTZKXGA</t>
  </si>
  <si>
    <t>UTZVXAA</t>
  </si>
  <si>
    <t>UTZVXGA</t>
  </si>
  <si>
    <t>UTGUKGAW</t>
  </si>
  <si>
    <t>UTGUFGDW</t>
  </si>
  <si>
    <t>UTGUFGFW</t>
  </si>
  <si>
    <t>UTGUGGAW</t>
  </si>
  <si>
    <t>UTYRNRGZ2</t>
  </si>
  <si>
    <t>UTYLRHGA2</t>
  </si>
  <si>
    <t>UTGAKXAW</t>
  </si>
  <si>
    <t>UTGBKXAW</t>
  </si>
  <si>
    <t>UTRYDZK</t>
  </si>
  <si>
    <t>UTYSHZXC</t>
  </si>
  <si>
    <t>AUXG09KVLA</t>
  </si>
  <si>
    <t>AUXG09K</t>
  </si>
  <si>
    <t>AUXG12K</t>
  </si>
  <si>
    <t>AUXG14K</t>
  </si>
  <si>
    <t>AUXG12KVLA</t>
  </si>
  <si>
    <t>AUXG14KVLA</t>
  </si>
  <si>
    <t>AUXG18KVLA</t>
  </si>
  <si>
    <t>AUXG22KVLA</t>
  </si>
  <si>
    <t>AUXG24KVLA</t>
  </si>
  <si>
    <t>Ваша скидка:</t>
  </si>
  <si>
    <r>
      <rPr>
        <b/>
        <sz val="18"/>
        <color indexed="9"/>
        <rFont val="Calibri"/>
        <family val="2"/>
        <charset val="204"/>
        <scheme val="minor"/>
      </rPr>
      <t>Slim Duct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ультракомпактные  (R32, тепло/холод)</t>
    </r>
  </si>
  <si>
    <t>ARXG09K</t>
  </si>
  <si>
    <t>ARXG12K</t>
  </si>
  <si>
    <t>ARXG14K</t>
  </si>
  <si>
    <t>ARXG18K</t>
  </si>
  <si>
    <t>ARXG09KLLAP</t>
  </si>
  <si>
    <t>ARXG12KLLAP</t>
  </si>
  <si>
    <t>ARXG14KLLAP</t>
  </si>
  <si>
    <t>ARXG18KLLAP</t>
  </si>
  <si>
    <t>2,5
(0,9-3,2)</t>
  </si>
  <si>
    <t>3,2
(0,9-4,7)</t>
  </si>
  <si>
    <r>
      <rPr>
        <b/>
        <sz val="18"/>
        <color indexed="9"/>
        <rFont val="Calibri"/>
        <family val="2"/>
        <charset val="204"/>
        <scheme val="minor"/>
      </rPr>
      <t>Slim Duct Eco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ультракомпактные  (R32, тепло/холод)</t>
    </r>
  </si>
  <si>
    <t>2,5
(0,9-2,7)</t>
  </si>
  <si>
    <t>3,2
(0,9-3,9)</t>
  </si>
  <si>
    <t>3,5
(0,9-3,7)</t>
  </si>
  <si>
    <t>4,1
(0,9-4,4)</t>
  </si>
  <si>
    <t>3,5 / A</t>
  </si>
  <si>
    <t>4,3
(0,9-4,5)</t>
  </si>
  <si>
    <t>5,0
(0,9-5,3)</t>
  </si>
  <si>
    <t>5,2
(0,9-5,4)</t>
  </si>
  <si>
    <t>6,0
(0,9-6,3)</t>
  </si>
  <si>
    <t>3,13 / B</t>
  </si>
  <si>
    <t>3,51 / B</t>
  </si>
  <si>
    <r>
      <rPr>
        <b/>
        <sz val="18"/>
        <color indexed="9"/>
        <rFont val="Calibri"/>
        <family val="2"/>
        <charset val="204"/>
        <scheme val="minor"/>
      </rPr>
      <t xml:space="preserve">Duct    </t>
    </r>
    <r>
      <rPr>
        <b/>
        <sz val="14"/>
        <color indexed="9"/>
        <rFont val="Calibri"/>
        <family val="2"/>
        <charset val="204"/>
        <scheme val="minor"/>
      </rPr>
      <t>Сплит-системы канального типа с расширенным диапазоном напора (R32, тепло/холод)</t>
    </r>
  </si>
  <si>
    <t>ARХG12KHTAP</t>
  </si>
  <si>
    <t>ARХG14KHTAP</t>
  </si>
  <si>
    <t>ARХG18KHTAP</t>
  </si>
  <si>
    <t>ARХG22KHTAP</t>
  </si>
  <si>
    <t>ARХG24KHTAP</t>
  </si>
  <si>
    <t>ARХG30KHTAP</t>
  </si>
  <si>
    <t>4,02 / A</t>
  </si>
  <si>
    <t>7,5
(0,9-9,1)</t>
  </si>
  <si>
    <t>4,06 / A</t>
  </si>
  <si>
    <r>
      <t>9,5</t>
    </r>
    <r>
      <rPr>
        <sz val="10"/>
        <rFont val="Calibri"/>
        <family val="2"/>
        <charset val="204"/>
        <scheme val="minor"/>
      </rPr>
      <t xml:space="preserve">
(2,8-11,2)</t>
    </r>
  </si>
  <si>
    <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</si>
  <si>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t>13,5</t>
    </r>
    <r>
      <rPr>
        <sz val="10"/>
        <rFont val="Calibri"/>
        <family val="2"/>
        <charset val="204"/>
        <scheme val="minor"/>
      </rPr>
      <t xml:space="preserve">
(4,2-16,2)</t>
    </r>
  </si>
  <si>
    <t>4,01  /A</t>
  </si>
  <si>
    <t>15,5
(4,7-16,5)</t>
  </si>
  <si>
    <t>3,98 / А</t>
  </si>
  <si>
    <t>ARХG36KHTAP (3 ф.)</t>
  </si>
  <si>
    <t>ARХG45KHTAP (3 ф.)</t>
  </si>
  <si>
    <t>ARХG54KHTAP (3 ф.)</t>
  </si>
  <si>
    <t>ARХG36KHTAP (1 ф.)</t>
  </si>
  <si>
    <t>ARХG45KHTAP (1 ф.)</t>
  </si>
  <si>
    <t>ARХG54KHTAP (1 ф.)</t>
  </si>
  <si>
    <r>
      <rPr>
        <b/>
        <sz val="18"/>
        <color indexed="9"/>
        <rFont val="Calibri"/>
        <family val="2"/>
        <charset val="204"/>
        <scheme val="minor"/>
      </rPr>
      <t>Duct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 (R32, тепло/холод)</t>
    </r>
  </si>
  <si>
    <t>ARXG22KM</t>
  </si>
  <si>
    <t>ARXG24KM</t>
  </si>
  <si>
    <t>ARXG30KM</t>
  </si>
  <si>
    <t>ARXG22KMLA</t>
  </si>
  <si>
    <t>ARXG24KMLA</t>
  </si>
  <si>
    <t>ARXG30KMLA</t>
  </si>
  <si>
    <t>ARXG36KMLA</t>
  </si>
  <si>
    <t>ARXG45KMLA</t>
  </si>
  <si>
    <t>ARXG36KM (1 ф.)</t>
  </si>
  <si>
    <t>ARXG36KM (3 ф.)</t>
  </si>
  <si>
    <t>ARXG45KM (1 ф.)</t>
  </si>
  <si>
    <t>ARXG45KM (3 ф.)</t>
  </si>
  <si>
    <t>6,0
(0,9-6,7)</t>
  </si>
  <si>
    <t>7,0
(0,9-8,0)</t>
  </si>
  <si>
    <r>
      <t>10,6</t>
    </r>
    <r>
      <rPr>
        <sz val="10"/>
        <rFont val="Calibri"/>
        <family val="2"/>
        <charset val="204"/>
        <scheme val="minor"/>
      </rPr>
      <t xml:space="preserve">
(2,7-12,7)</t>
    </r>
  </si>
  <si>
    <t>3,2 / A</t>
  </si>
  <si>
    <r>
      <t>12,1</t>
    </r>
    <r>
      <rPr>
        <sz val="10"/>
        <rFont val="Calibri"/>
        <family val="2"/>
        <charset val="204"/>
        <scheme val="minor"/>
      </rPr>
      <t xml:space="preserve">
(4,0-13,0)</t>
    </r>
  </si>
  <si>
    <r>
      <t>13,5</t>
    </r>
    <r>
      <rPr>
        <sz val="10"/>
        <rFont val="Calibri"/>
        <family val="2"/>
        <charset val="204"/>
        <scheme val="minor"/>
      </rPr>
      <t xml:space="preserve">
(4,2-15,2)</t>
    </r>
  </si>
  <si>
    <t>2,87 / B</t>
  </si>
  <si>
    <r>
      <rPr>
        <b/>
        <sz val="18"/>
        <color indexed="9"/>
        <rFont val="Calibri"/>
        <family val="2"/>
        <charset val="204"/>
        <scheme val="minor"/>
      </rPr>
      <t>Duct Eco</t>
    </r>
    <r>
      <rPr>
        <b/>
        <sz val="14"/>
        <color indexed="9"/>
        <rFont val="Calibri"/>
        <family val="2"/>
        <charset val="204"/>
        <scheme val="minor"/>
      </rPr>
      <t xml:space="preserve">       Сплит-системы канального типа  (R32, тепло/холод)</t>
    </r>
  </si>
  <si>
    <t>6,8
(0,9-7,4)</t>
  </si>
  <si>
    <t>7,5
(0,9-8,6)</t>
  </si>
  <si>
    <t>3,11 / B</t>
  </si>
  <si>
    <t>8,5
(2,8-9,6)</t>
  </si>
  <si>
    <t>10,0
(2,7-10,8)</t>
  </si>
  <si>
    <r>
      <t>9,5</t>
    </r>
    <r>
      <rPr>
        <sz val="10"/>
        <rFont val="Calibri"/>
        <family val="2"/>
        <charset val="204"/>
        <scheme val="minor"/>
      </rPr>
      <t xml:space="preserve">
(2,8-10,6)</t>
    </r>
  </si>
  <si>
    <r>
      <t>10,8</t>
    </r>
    <r>
      <rPr>
        <sz val="10"/>
        <rFont val="Calibri"/>
        <family val="2"/>
        <charset val="204"/>
        <scheme val="minor"/>
      </rPr>
      <t xml:space="preserve">
(2,7-12,5)</t>
    </r>
  </si>
  <si>
    <t>3,04 / A</t>
  </si>
  <si>
    <t>3,56 / A</t>
  </si>
  <si>
    <r>
      <t>12,1</t>
    </r>
    <r>
      <rPr>
        <sz val="10"/>
        <rFont val="Calibri"/>
        <family val="2"/>
        <charset val="204"/>
        <scheme val="minor"/>
      </rPr>
      <t xml:space="preserve">
(4,0-12,6)</t>
    </r>
  </si>
  <si>
    <r>
      <t>13,5</t>
    </r>
    <r>
      <rPr>
        <sz val="10"/>
        <rFont val="Calibri"/>
        <family val="2"/>
        <charset val="204"/>
        <scheme val="minor"/>
      </rPr>
      <t xml:space="preserve">
(4,2-15,0)</t>
    </r>
  </si>
  <si>
    <t>2,85 / B</t>
  </si>
  <si>
    <t>3,23 / B</t>
  </si>
  <si>
    <t>2,5 / B</t>
  </si>
  <si>
    <t>ARHG72LHTA</t>
  </si>
  <si>
    <t>ARHG72LH (3 ф.)</t>
  </si>
  <si>
    <t>ARHG90LHTA</t>
  </si>
  <si>
    <t>ARHG90LH  (3 ф.)</t>
  </si>
  <si>
    <t xml:space="preserve">   ARXG45KH (1 ф.)</t>
  </si>
  <si>
    <t xml:space="preserve">   ARXG45KH (3 ф.)</t>
  </si>
  <si>
    <t>ARXG54KH (1 ф.)</t>
  </si>
  <si>
    <t>ARXG54KH (3 ф.)</t>
  </si>
  <si>
    <t>ARXG45KHTA</t>
  </si>
  <si>
    <r>
      <t>13,5</t>
    </r>
    <r>
      <rPr>
        <sz val="10"/>
        <rFont val="Calibri"/>
        <family val="2"/>
        <charset val="204"/>
        <scheme val="minor"/>
      </rPr>
      <t xml:space="preserve">
(5,0-16,2)</t>
    </r>
  </si>
  <si>
    <t>2,91 / B</t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</si>
  <si>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(5,5-18,0)</t>
    </r>
  </si>
  <si>
    <t>UTYTFSXZ1</t>
  </si>
  <si>
    <t>UTYLRHGM</t>
  </si>
  <si>
    <t xml:space="preserve">UTYLBTGM </t>
  </si>
  <si>
    <t>UTDGXTAW</t>
  </si>
  <si>
    <t>UTDGXTBW </t>
  </si>
  <si>
    <t>UTDLFNA</t>
  </si>
  <si>
    <t>UTDLFNB</t>
  </si>
  <si>
    <t>UTDRS100</t>
  </si>
  <si>
    <t>UTDLF25NA</t>
  </si>
  <si>
    <t>UTDLF60KA</t>
  </si>
  <si>
    <t>UTDRF204</t>
  </si>
  <si>
    <t>UTDSF045T</t>
  </si>
  <si>
    <t>UTZPX1NBA</t>
  </si>
  <si>
    <t>ARXG12KHTAP</t>
  </si>
  <si>
    <t>ARXG14KHTAP</t>
  </si>
  <si>
    <t>ARXG18KHTAP</t>
  </si>
  <si>
    <t>ARXG22KHTAP</t>
  </si>
  <si>
    <t>ARXG24KHTAP</t>
  </si>
  <si>
    <t>ARXG30KHTAP</t>
  </si>
  <si>
    <t>ARXG36KHTAP</t>
  </si>
  <si>
    <t>ARXG45KHTAP</t>
  </si>
  <si>
    <t>ARXG54KHTAP</t>
  </si>
  <si>
    <t>ARXG54KHTA</t>
  </si>
  <si>
    <t>UTRDPB24T</t>
  </si>
  <si>
    <t>ARHG22LMLA</t>
  </si>
  <si>
    <t>AUHG22L</t>
  </si>
  <si>
    <t>AOHG45LATT (3ф.)</t>
  </si>
  <si>
    <t>AOHG72LRLA (3ф.)</t>
  </si>
  <si>
    <t>UTPSX236A</t>
  </si>
  <si>
    <t>UTPSX254A</t>
  </si>
  <si>
    <t>UTPSX354A</t>
  </si>
  <si>
    <t>Ваша скидка на мультисплит-системы:</t>
  </si>
  <si>
    <t>Наружные блоки  (R32, тепло/холод)</t>
  </si>
  <si>
    <t>AOHG14KBTA2</t>
  </si>
  <si>
    <t>AOHG18KBTA2</t>
  </si>
  <si>
    <r>
      <t xml:space="preserve">4,0
</t>
    </r>
    <r>
      <rPr>
        <sz val="10"/>
        <color indexed="63"/>
        <rFont val="Calibri"/>
        <family val="2"/>
        <charset val="204"/>
        <scheme val="minor"/>
      </rPr>
      <t>(1,4-4,6)</t>
    </r>
  </si>
  <si>
    <t>4,63 / A</t>
  </si>
  <si>
    <r>
      <t xml:space="preserve">5,0
</t>
    </r>
    <r>
      <rPr>
        <sz val="10"/>
        <color indexed="63"/>
        <rFont val="Calibri"/>
        <family val="2"/>
        <charset val="204"/>
        <scheme val="minor"/>
      </rPr>
      <t>(1,7-5,8)</t>
    </r>
  </si>
  <si>
    <r>
      <t xml:space="preserve">5,6
</t>
    </r>
    <r>
      <rPr>
        <sz val="10"/>
        <color indexed="63"/>
        <rFont val="Calibri"/>
        <family val="2"/>
        <charset val="204"/>
        <scheme val="minor"/>
      </rPr>
      <t>(1,8-6,6)</t>
    </r>
  </si>
  <si>
    <t>4,03 / A</t>
  </si>
  <si>
    <t>4,59 / A</t>
  </si>
  <si>
    <t>Внутренние блоки настенного типа серии Standard</t>
  </si>
  <si>
    <t>Внутренние блоки настенного типа серии Designer</t>
  </si>
  <si>
    <t>Внутренние блоки настенного типа серии Hi-Spec Design</t>
  </si>
  <si>
    <t>Внутренние блоки кассетного типа компактные  (R32, тепло/холод)</t>
  </si>
  <si>
    <t>AUXG07KVLA</t>
  </si>
  <si>
    <t>UTPPY02A</t>
  </si>
  <si>
    <t>UTPPY03A</t>
  </si>
  <si>
    <t>UTPSX248A</t>
  </si>
  <si>
    <t>UTDGXTCW</t>
  </si>
  <si>
    <t>UTYDMMGM</t>
  </si>
  <si>
    <t>UTYXWZXZ3</t>
  </si>
  <si>
    <t>UTYXWZXZ4</t>
  </si>
  <si>
    <t>UTRYDZB</t>
  </si>
  <si>
    <t>UTRRTLA</t>
  </si>
  <si>
    <t>Внутренние блоки канального типа  (R32, тепло/холод)</t>
  </si>
  <si>
    <t>ARXG07KLLAP</t>
  </si>
  <si>
    <t>AJH040LCLAH</t>
  </si>
  <si>
    <t>AJH045LCLAH</t>
  </si>
  <si>
    <t>AJH054LCLAH</t>
  </si>
  <si>
    <t>AJH040LCLBH</t>
  </si>
  <si>
    <t>AJH045LCLBH</t>
  </si>
  <si>
    <t>AJH054LCLBH</t>
  </si>
  <si>
    <r>
      <t xml:space="preserve">Наружные блоки мини J-IVS  (R410a, тепло/холод) </t>
    </r>
    <r>
      <rPr>
        <b/>
        <sz val="16"/>
        <color indexed="9"/>
        <rFont val="Calibri"/>
        <family val="2"/>
        <charset val="204"/>
        <scheme val="minor"/>
      </rPr>
      <t xml:space="preserve">                </t>
    </r>
    <r>
      <rPr>
        <b/>
        <sz val="14"/>
        <color indexed="9"/>
        <rFont val="Arial"/>
        <family val="2"/>
        <charset val="204"/>
      </rPr>
      <t/>
    </r>
  </si>
  <si>
    <t>Наружные блоки мини J-III  (R410a, тепло/холод)</t>
  </si>
  <si>
    <t>Наружные блоки мини J-IV (R410a, тепло/холод)</t>
  </si>
  <si>
    <t>AJH040LBLBH</t>
  </si>
  <si>
    <t>AJH045LBLBH</t>
  </si>
  <si>
    <t>AJH054LBLBH</t>
  </si>
  <si>
    <t>AJH040LELBH</t>
  </si>
  <si>
    <t>AJH045LELBH</t>
  </si>
  <si>
    <t>AJH054LELBH</t>
  </si>
  <si>
    <t>Наружные блоки J-IIIL  (R410a, тепло/холод)</t>
  </si>
  <si>
    <t>Наружные блоки J-IVL (R410a, тепло/холод)</t>
  </si>
  <si>
    <t>AJH072LELBH</t>
  </si>
  <si>
    <t>AJH090LELBH</t>
  </si>
  <si>
    <t>AJH108LELBH</t>
  </si>
  <si>
    <t>AJH126LELBH</t>
  </si>
  <si>
    <t>AJH144LELBH</t>
  </si>
  <si>
    <t>AJH162LELBH</t>
  </si>
  <si>
    <t>Наружные блоки VR-II (R410a, тепло/холод)</t>
  </si>
  <si>
    <t>Наружные блоки VR-IV (R410a, тепло/холод)</t>
  </si>
  <si>
    <t>AJH072GALBH</t>
  </si>
  <si>
    <t>AJH090GALBH</t>
  </si>
  <si>
    <t>AJH108GALBH</t>
  </si>
  <si>
    <t>AJH126GALBH</t>
  </si>
  <si>
    <t>AJH144GALBH</t>
  </si>
  <si>
    <t>Наружные блоки V-III  (R410a, тепло/холод)</t>
  </si>
  <si>
    <t>ASHA004GTEH</t>
  </si>
  <si>
    <t>ASHA007GTEH</t>
  </si>
  <si>
    <t>ASHA009GTEH</t>
  </si>
  <si>
    <t>ASHA012GCEH</t>
  </si>
  <si>
    <t>ASHA014GCEH</t>
  </si>
  <si>
    <t>ASHA030GTEH</t>
  </si>
  <si>
    <t>ASHA034GTEH</t>
  </si>
  <si>
    <t xml:space="preserve">ASHE007GTEH </t>
  </si>
  <si>
    <t xml:space="preserve">ASHE009GTEH </t>
  </si>
  <si>
    <t xml:space="preserve">ASHE012GCEH </t>
  </si>
  <si>
    <t xml:space="preserve">ASHE014GCEH </t>
  </si>
  <si>
    <t>AGHA004GCEH</t>
  </si>
  <si>
    <t>AGHA007GCEH</t>
  </si>
  <si>
    <t>AGHA009GCEH</t>
  </si>
  <si>
    <t>AGHA012GCEH</t>
  </si>
  <si>
    <t>AGHA014GCEH</t>
  </si>
  <si>
    <t>AUXM024GLEH</t>
  </si>
  <si>
    <t>AUXM30GLEH</t>
  </si>
  <si>
    <t xml:space="preserve">AUXK034GLAH
</t>
  </si>
  <si>
    <t xml:space="preserve">AUXK036GLAH
</t>
  </si>
  <si>
    <t xml:space="preserve">AUXK036GLEH
</t>
  </si>
  <si>
    <t>AUXK024GLEH</t>
  </si>
  <si>
    <t>AUXK024GLAH</t>
  </si>
  <si>
    <t>ARXK07GLEH</t>
  </si>
  <si>
    <t>ARXK09GLEH</t>
  </si>
  <si>
    <t>ARXK12GLEH</t>
  </si>
  <si>
    <t>ARXK14GLEH</t>
  </si>
  <si>
    <t>ARXK18GLEH</t>
  </si>
  <si>
    <t>ARXK24GLEH</t>
  </si>
  <si>
    <t>ARXD04GLEH</t>
  </si>
  <si>
    <t>ARXD07GLEH</t>
  </si>
  <si>
    <t>ARXD09GLEH</t>
  </si>
  <si>
    <t>ARXD12GLEH</t>
  </si>
  <si>
    <t>ARXD14GLEH</t>
  </si>
  <si>
    <t>ARXD18GLEH</t>
  </si>
  <si>
    <t>ARXD24GLEH</t>
  </si>
  <si>
    <t>ARXA24GLEH</t>
  </si>
  <si>
    <t>ARXA30GLEH</t>
  </si>
  <si>
    <t>ARXA36GLEH</t>
  </si>
  <si>
    <t>ARXA45GLEH</t>
  </si>
  <si>
    <t>ARXC36GBTH</t>
  </si>
  <si>
    <t>ARXC72GBTH</t>
  </si>
  <si>
    <t>ARXC96GATH</t>
  </si>
  <si>
    <t>ARXC90GBTH</t>
  </si>
  <si>
    <t>ARXC45GTEH</t>
  </si>
  <si>
    <t>ARXC60GTEH</t>
  </si>
  <si>
    <t>ARXC72GTEH</t>
  </si>
  <si>
    <t>ARXC90GTEH</t>
  </si>
  <si>
    <t>ARXC96GTEH</t>
  </si>
  <si>
    <t>ABHA012GTEH</t>
  </si>
  <si>
    <t>ABHA014GTEH</t>
  </si>
  <si>
    <t>ABHA018GTEH</t>
  </si>
  <si>
    <t>ABHA024GTEH</t>
  </si>
  <si>
    <t>ABHA030GTEH</t>
  </si>
  <si>
    <t>ABHA036GTEH</t>
  </si>
  <si>
    <t>ABHA045GTEH</t>
  </si>
  <si>
    <t>ABHA054GTEH</t>
  </si>
  <si>
    <t>ASHA004GTAH</t>
  </si>
  <si>
    <t>ASHA007GTAH</t>
  </si>
  <si>
    <t>ASHA012GCAH</t>
  </si>
  <si>
    <t>ASHA18GBCH</t>
  </si>
  <si>
    <t>ASHA014GCAH</t>
  </si>
  <si>
    <t>ASHA009GTAH</t>
  </si>
  <si>
    <t>ASHA24GBCH</t>
  </si>
  <si>
    <t>ASHA030GTAH</t>
  </si>
  <si>
    <t>ASHA034GTAH</t>
  </si>
  <si>
    <t>UTREV09XB</t>
  </si>
  <si>
    <t>UTREV14XB</t>
  </si>
  <si>
    <t>ASHE012GСAH</t>
  </si>
  <si>
    <t>ASHE014GСAH</t>
  </si>
  <si>
    <t>ASHE012GСEH</t>
  </si>
  <si>
    <t>ASHE014GСEH</t>
  </si>
  <si>
    <t>AGHA004GCAH</t>
  </si>
  <si>
    <t>AGHA007GCAH</t>
  </si>
  <si>
    <t>AGHA009GCAH</t>
  </si>
  <si>
    <t>AGHA012GCAH</t>
  </si>
  <si>
    <t>AGHA014GCAH</t>
  </si>
  <si>
    <t>UTGUKGCW</t>
  </si>
  <si>
    <t>AUXM024GLAH</t>
  </si>
  <si>
    <t>UTGUFGCW</t>
  </si>
  <si>
    <t>UTGUFGEW</t>
  </si>
  <si>
    <t>AUXB04GALH</t>
  </si>
  <si>
    <t>AUXB007GLEH</t>
  </si>
  <si>
    <t>AUXB009GLEH</t>
  </si>
  <si>
    <t>AUXB012GLEH</t>
  </si>
  <si>
    <t>AUXB014GLEH</t>
  </si>
  <si>
    <t>AUXB018GLEH</t>
  </si>
  <si>
    <t>AUXB024GLEH</t>
  </si>
  <si>
    <t>UTBGWC</t>
  </si>
  <si>
    <t>UTYLBHXD</t>
  </si>
  <si>
    <t xml:space="preserve">UTYSHZXC </t>
  </si>
  <si>
    <t>UTPLX180A</t>
  </si>
  <si>
    <t>UTYVMGX</t>
  </si>
  <si>
    <t>UTYVSGXZ1</t>
  </si>
  <si>
    <t>UTYPTGXA</t>
  </si>
  <si>
    <t>UTDGXTBW</t>
  </si>
  <si>
    <t>UTYRLRG</t>
  </si>
  <si>
    <t>UTYRNKG</t>
  </si>
  <si>
    <t>UTYRSKG</t>
  </si>
  <si>
    <t>UTYRHKG</t>
  </si>
  <si>
    <t>UTYRSRG</t>
  </si>
  <si>
    <t>UTYRHRG</t>
  </si>
  <si>
    <t>UTYLNHG</t>
  </si>
  <si>
    <t>UTYLRHGB1</t>
  </si>
  <si>
    <t>UTYCGGG</t>
  </si>
  <si>
    <t>UTYDCGG</t>
  </si>
  <si>
    <t>UTYPLGXX2</t>
  </si>
  <si>
    <t>UTYVBGX</t>
  </si>
  <si>
    <t>UTYVLGX</t>
  </si>
  <si>
    <t>UTYASGXZ1</t>
  </si>
  <si>
    <t>UTYAMGX</t>
  </si>
  <si>
    <t>UTYVSGX</t>
  </si>
  <si>
    <t>UTYXWZXZA</t>
  </si>
  <si>
    <t>UTYXWZXZ8</t>
  </si>
  <si>
    <t>UTYXWZXZC</t>
  </si>
  <si>
    <t>UTYXWZXZB</t>
  </si>
  <si>
    <t>UTYXWZXZD</t>
  </si>
  <si>
    <t>UTYXWZXZ7</t>
  </si>
  <si>
    <t>UTYXWZXZE</t>
  </si>
  <si>
    <t>UTYXWZXZ6</t>
  </si>
  <si>
    <t>UTYXWZXZ9</t>
  </si>
  <si>
    <t>UTYTEKX</t>
  </si>
  <si>
    <t>UTPCX567A</t>
  </si>
  <si>
    <t>UTPAX054A</t>
  </si>
  <si>
    <t>UTPAX090A</t>
  </si>
  <si>
    <t>UTPAX180A</t>
  </si>
  <si>
    <t>UTPAX567A</t>
  </si>
  <si>
    <t>UTRH0906L</t>
  </si>
  <si>
    <t>UTRH1806L</t>
  </si>
  <si>
    <t>UTRH0908L</t>
  </si>
  <si>
    <t>UTRH1808L</t>
  </si>
  <si>
    <t>UTPDX567A</t>
  </si>
  <si>
    <t>UTPBX090A</t>
  </si>
  <si>
    <t>UTPBX180A</t>
  </si>
  <si>
    <t>UTPBX567A</t>
  </si>
  <si>
    <t>UTPJ0906A</t>
  </si>
  <si>
    <t>UTPJ0908A</t>
  </si>
  <si>
    <t>UTPJ1806A</t>
  </si>
  <si>
    <t>UTPJ1808A</t>
  </si>
  <si>
    <t>UTPRX01AH</t>
  </si>
  <si>
    <t>UTPRX01BH</t>
  </si>
  <si>
    <t>UTPRX01CH</t>
  </si>
  <si>
    <t>UTPRX04BH</t>
  </si>
  <si>
    <t>UTPVX30A</t>
  </si>
  <si>
    <t>UTYVDGX</t>
  </si>
  <si>
    <t>UTPVX60A</t>
  </si>
  <si>
    <t>UTPVX90A</t>
  </si>
  <si>
    <t>UTRYDZC</t>
  </si>
  <si>
    <t>UTZKXGB</t>
  </si>
  <si>
    <t>UTZPX1BBA</t>
  </si>
  <si>
    <t>ARXC036GTEH</t>
  </si>
  <si>
    <t>UTYALGXZ1</t>
  </si>
  <si>
    <t>UTYDTGGZ1</t>
  </si>
  <si>
    <t>UTYPLGXA1</t>
  </si>
  <si>
    <t>UTYAPGXZ1</t>
  </si>
  <si>
    <t>UTYABGXZ1</t>
  </si>
  <si>
    <t>Внимание! Данные системы поставляются под заказ. Наличие оборудования и сроки поставки уточняйте у менеджера, ведущего вашу компанию.</t>
  </si>
  <si>
    <t>WSHG160DJ6</t>
  </si>
  <si>
    <t>WOHG160LJL</t>
  </si>
  <si>
    <t>WSHG140DG</t>
  </si>
  <si>
    <t>WOHG112LHT</t>
  </si>
  <si>
    <t>WOHG140LCTA</t>
  </si>
  <si>
    <t>WOHK112LCTA</t>
  </si>
  <si>
    <t>WOHK140LCTA</t>
  </si>
  <si>
    <t>WOHK160LCTA</t>
  </si>
  <si>
    <t>WSHA050DG</t>
  </si>
  <si>
    <t>WOHA060LFCA</t>
  </si>
  <si>
    <t>WSHA100DG</t>
  </si>
  <si>
    <t>WOHA080LFCA</t>
  </si>
  <si>
    <t>WOHA100LFTA</t>
  </si>
  <si>
    <t>WGHG160DJ6</t>
  </si>
  <si>
    <t>WGHG140DG</t>
  </si>
  <si>
    <t>WGHA050DG</t>
  </si>
  <si>
    <t>WGHA100DG</t>
  </si>
  <si>
    <t xml:space="preserve">UTWKSPXD </t>
  </si>
  <si>
    <t>UTWKBSXD</t>
  </si>
  <si>
    <t>UTWKCMXE</t>
  </si>
  <si>
    <t>UTWKCSXE</t>
  </si>
  <si>
    <t>UTWC74TXF</t>
  </si>
  <si>
    <t>UTWKCLXD</t>
  </si>
  <si>
    <t>UTWKZSXE</t>
  </si>
  <si>
    <t>UTWKZDXE</t>
  </si>
  <si>
    <t>UTWKBDXD</t>
  </si>
  <si>
    <t>UTWKDWXD</t>
  </si>
  <si>
    <t>UTWT20AXH</t>
  </si>
  <si>
    <t>UTWT30AXH</t>
  </si>
  <si>
    <t>UTWT20BXH</t>
  </si>
  <si>
    <t>UTWT30BXH</t>
  </si>
  <si>
    <t>UTWKDEXE</t>
  </si>
  <si>
    <t>UTWKSPXD</t>
  </si>
  <si>
    <t>UTWKLNXE</t>
  </si>
  <si>
    <t>UTWKREXD</t>
  </si>
  <si>
    <t>UTWKL1XD</t>
  </si>
  <si>
    <t>UTWKSTXD</t>
  </si>
  <si>
    <t>UTWKPSXD</t>
  </si>
  <si>
    <t>UTWHS6XG</t>
  </si>
  <si>
    <t>UTWHT9XG</t>
  </si>
  <si>
    <t>UTWKHMXE</t>
  </si>
  <si>
    <t>UTWC74HXF</t>
  </si>
  <si>
    <t>UTWC58XD</t>
  </si>
  <si>
    <t>UTWMOSXD</t>
  </si>
  <si>
    <t>UTWMRCXD</t>
  </si>
  <si>
    <t>UTWKW1XD</t>
  </si>
  <si>
    <t>UTWKW4XD</t>
  </si>
  <si>
    <t>UTWKDPXA</t>
  </si>
  <si>
    <t>Теплообменник</t>
  </si>
  <si>
    <t xml:space="preserve">Термостат </t>
  </si>
  <si>
    <t xml:space="preserve">Комплект для бассейна </t>
  </si>
  <si>
    <t xml:space="preserve">Модуль </t>
  </si>
  <si>
    <t>Модуль</t>
  </si>
  <si>
    <t xml:space="preserve">Пульт управления </t>
  </si>
  <si>
    <t xml:space="preserve">Комплект охлаждения </t>
  </si>
  <si>
    <t>Ваша скидка на бытовые системы:</t>
  </si>
  <si>
    <t>Ваша скидка на промышленные системы:</t>
  </si>
  <si>
    <r>
      <t>Eco</t>
    </r>
    <r>
      <rPr>
        <b/>
        <vertAlign val="superscript"/>
        <sz val="24"/>
        <color rgb="FFE30017"/>
        <rFont val="Calibri"/>
        <family val="2"/>
        <charset val="204"/>
        <scheme val="minor"/>
      </rPr>
      <t>3</t>
    </r>
    <r>
      <rPr>
        <b/>
        <sz val="24"/>
        <color rgb="FFE30017"/>
        <rFont val="Calibri"/>
        <family val="2"/>
        <charset val="204"/>
        <scheme val="minor"/>
      </rPr>
      <t xml:space="preserve"> Inverter                                            </t>
    </r>
  </si>
  <si>
    <r>
      <rPr>
        <sz val="10"/>
        <color rgb="FFFF0000"/>
        <rFont val="Calibri"/>
        <family val="2"/>
        <charset val="204"/>
        <scheme val="minor"/>
      </rPr>
      <t>НИЗКОТЕМПЕРАТУРНАЯ ДОРАБОТКА ДО -30С.</t>
    </r>
    <r>
      <rPr>
        <sz val="10"/>
        <rFont val="Calibri"/>
        <family val="2"/>
        <charset val="204"/>
        <scheme val="minor"/>
      </rPr>
      <t xml:space="preserve"> Опционально - система тонкой очистки воздуха: ионный деодорирующий фильтр, яблочно-катехиновый фильтр</t>
    </r>
  </si>
  <si>
    <t>ASHG07LLCC Wset</t>
  </si>
  <si>
    <t>AOHG07LLCC-W</t>
  </si>
  <si>
    <t>ASHG09LLCC Wset</t>
  </si>
  <si>
    <t>AOHG09LLCC-W</t>
  </si>
  <si>
    <t>ASHG12LLCC Wset</t>
  </si>
  <si>
    <t>AOHG12LLCC-W</t>
  </si>
  <si>
    <t xml:space="preserve">Energy Plus                                                  </t>
  </si>
  <si>
    <r>
      <rPr>
        <sz val="10"/>
        <color rgb="FFFF0000"/>
        <rFont val="Calibri"/>
        <family val="2"/>
        <charset val="204"/>
        <scheme val="minor"/>
      </rPr>
      <t>НИЗКОТЕМПЕРАТУРНАЯ ДОРАБОТКА ДО -25С</t>
    </r>
    <r>
      <rPr>
        <sz val="10"/>
        <rFont val="Calibri"/>
        <family val="2"/>
        <charset val="204"/>
        <scheme val="minor"/>
      </rPr>
      <t>. Высокая энергоэффективность (Класс A++), ионный деодорирующий фильтр, яблочно-катехиновый фильтр</t>
    </r>
  </si>
  <si>
    <t>ASHG14LMCA Wset</t>
  </si>
  <si>
    <t>AOHG14LMCA-W</t>
  </si>
  <si>
    <t>ASHG18LFCA Wset</t>
  </si>
  <si>
    <t>AOHG18LFC-W</t>
  </si>
  <si>
    <t>ASHG24LFCC Wset</t>
  </si>
  <si>
    <t>AOHG24LFCC-W</t>
  </si>
  <si>
    <r>
      <rPr>
        <sz val="10"/>
        <color rgb="FFFF0000"/>
        <rFont val="Calibri"/>
        <family val="2"/>
        <charset val="204"/>
        <scheme val="minor"/>
      </rPr>
      <t xml:space="preserve">НИЗКОТЕМПЕРАТУРНАЯ ДОРАБОТКА ДО -30С. </t>
    </r>
    <r>
      <rPr>
        <sz val="10"/>
        <rFont val="Calibri"/>
        <family val="2"/>
        <charset val="204"/>
        <scheme val="minor"/>
      </rPr>
      <t>Работа в режиме охлаждения до - 15 ˚С, высокая энергоэффективность (Класс A++), ионный деодорирующий фильтр, яблочно-катехиновый фильтр</t>
    </r>
  </si>
  <si>
    <t>ASHG30LMTA Wset</t>
  </si>
  <si>
    <t>AOHG30LMTA-W</t>
  </si>
  <si>
    <t>ASHG36LMTA Wset</t>
  </si>
  <si>
    <t>AOHG36LMTA-W</t>
  </si>
  <si>
    <r>
      <rPr>
        <sz val="10"/>
        <color rgb="FFFF0000"/>
        <rFont val="Calibri"/>
        <family val="2"/>
        <charset val="204"/>
        <scheme val="minor"/>
      </rPr>
      <t>НИЗКОТЕМПЕРАТУРНАЯ ДОРАБОТКА ДО -25С</t>
    </r>
    <r>
      <rPr>
        <sz val="10"/>
        <rFont val="Calibri"/>
        <family val="2"/>
        <charset val="204"/>
        <scheme val="minor"/>
      </rPr>
      <t>.Внутренний блок комплектуется ИК-пультом, дренажным насосом и воздушным фильтром</t>
    </r>
  </si>
  <si>
    <t>AUHG12L  Wset</t>
  </si>
  <si>
    <t>AOHG12LALL-W</t>
  </si>
  <si>
    <t>UTG-UFGD-W</t>
  </si>
  <si>
    <t>AUHG14L  Wset</t>
  </si>
  <si>
    <t>AOHG14LALL-W</t>
  </si>
  <si>
    <t>AUHG18L  Wset</t>
  </si>
  <si>
    <t>AUHG24L  Wset</t>
  </si>
  <si>
    <t>AOHG24LALA-W</t>
  </si>
  <si>
    <t>AUHG30L Wset</t>
  </si>
  <si>
    <t>AOHG30LETL-W</t>
  </si>
  <si>
    <t>UTG-UGGA-W</t>
  </si>
  <si>
    <t>AUHG36L (1 ф.) Wset</t>
  </si>
  <si>
    <t>AOHG36LETL-W</t>
  </si>
  <si>
    <t xml:space="preserve"> AUHG36L (3 ф.) Wset</t>
  </si>
  <si>
    <t>AOHG36LATT-W</t>
  </si>
  <si>
    <r>
      <t xml:space="preserve">AUHG45L  (1 ф.) </t>
    </r>
    <r>
      <rPr>
        <sz val="12"/>
        <color indexed="63"/>
        <rFont val="Calibri"/>
        <family val="2"/>
        <charset val="204"/>
        <scheme val="minor"/>
      </rPr>
      <t>Wset</t>
    </r>
  </si>
  <si>
    <t>AOHG45LETL-W</t>
  </si>
  <si>
    <t>AUHG45L  (3 ф.) Wset</t>
  </si>
  <si>
    <t>AOHG45LATT-W</t>
  </si>
  <si>
    <t>AUHG54L  (1 ф.) Wset</t>
  </si>
  <si>
    <t>AOHG54LETL-W</t>
  </si>
  <si>
    <t>AUHG54L  (3 ф.) Wset</t>
  </si>
  <si>
    <t>AOHG54LATT-W</t>
  </si>
  <si>
    <r>
      <rPr>
        <sz val="10"/>
        <color rgb="FFFF0000"/>
        <rFont val="Calibri"/>
        <family val="2"/>
        <charset val="204"/>
        <scheme val="minor"/>
      </rPr>
      <t xml:space="preserve">НИЗКОТЕМПЕРАТУРНАЯ ДОРАБОТКА ДО -25С. </t>
    </r>
    <r>
      <rPr>
        <sz val="10"/>
        <rFont val="Calibri"/>
        <family val="2"/>
        <charset val="204"/>
        <scheme val="minor"/>
      </rPr>
      <t>Внутренний блок комплектуется проводным пультом</t>
    </r>
  </si>
  <si>
    <t>ARHG24LM Wset</t>
  </si>
  <si>
    <t>ARHG30LM Wset</t>
  </si>
  <si>
    <t>ARHG36LM (1 ф.) Wset</t>
  </si>
  <si>
    <t xml:space="preserve">  ARHG36LM (3 ф.) Wset</t>
  </si>
  <si>
    <t>ARHG45LM  (1 ф.) Wset</t>
  </si>
  <si>
    <t xml:space="preserve">   ARHG45LM (3 ф.) Wset</t>
  </si>
  <si>
    <t xml:space="preserve">   ARHG45LH (1 ф.) Wset</t>
  </si>
  <si>
    <t xml:space="preserve">   ARHG45LH (3 ф.) Wset</t>
  </si>
  <si>
    <t>ARHC54LH (1 ф.) Wset</t>
  </si>
  <si>
    <t>ARHG54LH (3 ф.) Wset</t>
  </si>
  <si>
    <t>ARHG60LH (3 ф.) Wset</t>
  </si>
  <si>
    <t>AOHG60LATT-W</t>
  </si>
  <si>
    <t>ABHG18L Wset</t>
  </si>
  <si>
    <t>AOHG18LBCB-W</t>
  </si>
  <si>
    <t>ABHG24L Wset</t>
  </si>
  <si>
    <t>ABHG30L Wset</t>
  </si>
  <si>
    <t>ABHG36L (1 ф.) Wset</t>
  </si>
  <si>
    <t xml:space="preserve">   ABHG36L  (3 ф.) Wset</t>
  </si>
  <si>
    <t>ABHG45L (1 ф.) Wset</t>
  </si>
  <si>
    <t xml:space="preserve">   ABHG45L (3 ф.) Wset</t>
  </si>
  <si>
    <t>ABHG54L (3 ф.) Wset</t>
  </si>
  <si>
    <t>Ваша скидка на PAC и аксессуары:</t>
  </si>
  <si>
    <t xml:space="preserve"> ARHG36LM (3 ф.)</t>
  </si>
  <si>
    <t>Сплит-системы с низкотемпературным комплектом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</si>
</sst>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2" formatCode="_-* #,##0&quot;р.&quot;_-;\-* #,##0&quot;р.&quot;_-;_-* &quot;-&quot;&quot;р.&quot;_-;_-@_-"/>
    <numFmt numFmtId="41" formatCode="_-* #,##0_р_._-;\-* #,##0_р_._-;_-* &quot;-&quot;_р_._-;_-@_-"/>
    <numFmt numFmtId="43" formatCode="_-* #,##0.00_р_._-;\-* #,##0.00_р_._-;_-* &quot;-&quot;??_р_._-;_-@_-"/>
    <numFmt numFmtId="164" formatCode="_-* #,##0_-;\-* #,##0_-;_-* &quot;-&quot;_-;_-@_-"/>
    <numFmt numFmtId="165" formatCode="_-* #,##0\ _р_._-;\-* #,##0\ _р_._-;_-* &quot;-&quot;\ _р_._-;_-@_-"/>
    <numFmt numFmtId="166" formatCode="_-* #,##0.00\ &quot;р.&quot;_-;\-* #,##0.00\ &quot;р.&quot;_-;_-* &quot;-&quot;??\ &quot;р.&quot;_-;_-@_-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0.0"/>
    <numFmt numFmtId="170" formatCode="0.000"/>
    <numFmt numFmtId="171" formatCode="#,##0&quot;р.&quot;"/>
    <numFmt numFmtId="172" formatCode="[$$-409]#,##0"/>
    <numFmt numFmtId="173" formatCode="0.0%"/>
    <numFmt numFmtId="174" formatCode="_-&quot;Ј&quot;* #,##0_-;\-&quot;Ј&quot;* #,##0_-;_-&quot;Ј&quot;* &quot;-&quot;_-;_-@_-"/>
    <numFmt numFmtId="175" formatCode="_-&quot;Ј&quot;* #,##0.00_-;\-&quot;Ј&quot;* #,##0.00_-;_-&quot;Ј&quot;* &quot;-&quot;??_-;_-@_-"/>
    <numFmt numFmtId="176" formatCode="_-* #,##0.00\ &quot;€&quot;_-;\-* #,##0.00\ &quot;€&quot;_-;_-* &quot;-&quot;??\ &quot;€&quot;_-;_-@_-"/>
    <numFmt numFmtId="177" formatCode="[$€]#,##0.00;[Red][$€]\-#,##0.00"/>
    <numFmt numFmtId="178" formatCode="_-* #,##0\ _P_t_s_-;\-* #,##0\ _P_t_s_-;_-* &quot;-&quot;\ _P_t_s_-;_-@_-"/>
    <numFmt numFmtId="179" formatCode="_-* #,##0\ &quot;Pts&quot;_-;\-* #,##0\ &quot;Pts&quot;_-;_-* &quot;-&quot;\ &quot;Pts&quot;_-;_-@_-"/>
    <numFmt numFmtId="180" formatCode="0.0%;\(0.0%\)"/>
    <numFmt numFmtId="181" formatCode="_-* #,##0_р_._-;\-* #,##0_р_._-;_-* \-_р_._-;_-@_-"/>
    <numFmt numFmtId="182" formatCode="_-* #,##0.00_р_._-;\-* #,##0.00_р_._-;_-* \-??_р_._-;_-@_-"/>
    <numFmt numFmtId="183" formatCode="_-* #,##0\ _€_-;\-* #,##0\ _€_-;_-* &quot;-&quot;\ _€_-;_-@_-"/>
    <numFmt numFmtId="184" formatCode="_-* #,##0_₴_-;\-* #,##0_₴_-;_-* &quot;-&quot;_₴_-;_-@_-"/>
    <numFmt numFmtId="185" formatCode="_-* #,##0.00\ &quot;DM&quot;_-;\-* #,##0.00\ &quot;DM&quot;_-;_-* &quot;-&quot;??\ &quot;DM&quot;_-;_-@_-"/>
    <numFmt numFmtId="186" formatCode="_-* #,##0.00\ [$€]_-;\-* #,##0.00\ [$€]_-;_-* \-??\ [$€]_-;_-@_-"/>
    <numFmt numFmtId="187" formatCode="_-* #,##0.00&quot;р.&quot;_-;\-* #,##0.00&quot;р.&quot;_-;_-* \-??&quot;р.&quot;_-;_-@_-"/>
    <numFmt numFmtId="188" formatCode="#,##0&quot; F&quot;_);[Red]\(#,##0&quot; F)&quot;"/>
    <numFmt numFmtId="189" formatCode="General_)"/>
    <numFmt numFmtId="190" formatCode="#,##0.00&quot; F&quot;_);[Red]\(#,##0.00&quot; F)&quot;"/>
    <numFmt numFmtId="191" formatCode="#,##0&quot; $&quot;;\-#,##0&quot; $&quot;"/>
    <numFmt numFmtId="192" formatCode="#,##0&quot; $&quot;;[Red]\-#,##0&quot; $&quot;"/>
    <numFmt numFmtId="193" formatCode="_-* #,##0.00_-;\-* #,##0.00_-;_-* \-??_-;_-@_-"/>
    <numFmt numFmtId="194" formatCode="0_ "/>
    <numFmt numFmtId="195" formatCode="_(* #,##0_);_(* \(#,##0\);_(* \-_);_(@_)"/>
    <numFmt numFmtId="196" formatCode="\$0.000"/>
    <numFmt numFmtId="197" formatCode="0.0&quot;  &quot;"/>
    <numFmt numFmtId="198" formatCode="#,##0.00&quot; $&quot;;\-#,##0.00&quot; $&quot;"/>
    <numFmt numFmtId="199" formatCode="#,##0.00&quot; $&quot;;[Red]\-#,##0.00&quot; $&quot;"/>
    <numFmt numFmtId="200" formatCode="_-* #,##0;_-* #,##0;_-* \-;_-@_-"/>
    <numFmt numFmtId="201" formatCode="_(&quot;Itl. &quot;* #,##0_);_(&quot;Itl. &quot;* \(#,##0\);_(&quot;Itl. &quot;* \-_);_(@_)"/>
    <numFmt numFmtId="202" formatCode="0_ ;[Red]\-0\ "/>
    <numFmt numFmtId="203" formatCode="[$$-C09]#,##0"/>
    <numFmt numFmtId="204" formatCode="#,##0\ &quot;₽&quot;"/>
  </numFmts>
  <fonts count="21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8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Times New Roman"/>
      <family val="1"/>
    </font>
    <font>
      <sz val="10"/>
      <name val="Helv"/>
      <family val="2"/>
    </font>
    <font>
      <sz val="11"/>
      <name val="돋움"/>
      <family val="3"/>
      <charset val="129"/>
    </font>
    <font>
      <sz val="12"/>
      <name val="宋体"/>
      <charset val="134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8"/>
      <name val="宋体"/>
      <charset val="134"/>
    </font>
    <font>
      <u/>
      <sz val="10"/>
      <color indexed="12"/>
      <name val="Arial Cyr"/>
      <family val="2"/>
      <charset val="204"/>
    </font>
    <font>
      <sz val="10"/>
      <color indexed="8"/>
      <name val="Humanst521 BT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8"/>
      <name val="Arial Cyr"/>
      <family val="2"/>
      <charset val="204"/>
    </font>
    <font>
      <sz val="8"/>
      <name val="MS Sans Serif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  <charset val="186"/>
    </font>
    <font>
      <sz val="11"/>
      <name val="Arial"/>
      <family val="2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u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Arial"/>
      <family val="2"/>
      <charset val="204"/>
    </font>
    <font>
      <sz val="14"/>
      <color indexed="10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u/>
      <sz val="10"/>
      <color indexed="10"/>
      <name val="Arial"/>
      <family val="2"/>
      <charset val="204"/>
    </font>
    <font>
      <sz val="10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sz val="11"/>
      <color rgb="FFC00000"/>
      <name val="Arial Cyr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30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sz val="10"/>
      <color rgb="FFC00000"/>
      <name val="Arial Cyr"/>
      <charset val="204"/>
    </font>
    <font>
      <sz val="10"/>
      <color rgb="FFC00000"/>
      <name val="Arial"/>
      <family val="2"/>
      <charset val="204"/>
    </font>
    <font>
      <b/>
      <sz val="28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theme="1"/>
      <name val="Meiryo UI"/>
      <family val="2"/>
      <charset val="128"/>
    </font>
    <font>
      <u/>
      <sz val="9"/>
      <color theme="0"/>
      <name val="Arial"/>
      <family val="2"/>
      <charset val="204"/>
    </font>
    <font>
      <b/>
      <sz val="3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vertAlign val="superscript"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4"/>
      <color indexed="9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b/>
      <sz val="10"/>
      <color indexed="63"/>
      <name val="Calibri"/>
      <family val="2"/>
      <charset val="204"/>
      <scheme val="minor"/>
    </font>
    <font>
      <sz val="10"/>
      <color indexed="63"/>
      <name val="Calibri"/>
      <family val="2"/>
      <charset val="204"/>
      <scheme val="minor"/>
    </font>
    <font>
      <b/>
      <sz val="12"/>
      <color indexed="63"/>
      <name val="Calibri"/>
      <family val="2"/>
      <charset val="204"/>
      <scheme val="minor"/>
    </font>
    <font>
      <sz val="12"/>
      <color indexed="63"/>
      <name val="Calibri"/>
      <family val="2"/>
      <charset val="204"/>
      <scheme val="minor"/>
    </font>
    <font>
      <b/>
      <sz val="9"/>
      <color indexed="63"/>
      <name val="Calibri"/>
      <family val="2"/>
      <charset val="204"/>
      <scheme val="minor"/>
    </font>
    <font>
      <b/>
      <sz val="8"/>
      <color indexed="63"/>
      <name val="Calibri"/>
      <family val="2"/>
      <charset val="204"/>
      <scheme val="minor"/>
    </font>
    <font>
      <b/>
      <sz val="10"/>
      <color indexed="12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vertAlign val="superscript"/>
      <sz val="11"/>
      <color indexed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24"/>
      <color indexed="10"/>
      <name val="Calibri"/>
      <family val="2"/>
      <charset val="204"/>
      <scheme val="minor"/>
    </font>
    <font>
      <b/>
      <sz val="24"/>
      <color rgb="FFE30017"/>
      <name val="Calibri"/>
      <family val="2"/>
      <charset val="204"/>
      <scheme val="minor"/>
    </font>
    <font>
      <b/>
      <vertAlign val="superscript"/>
      <sz val="24"/>
      <color rgb="FFE30017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indexed="9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rgb="FF21212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9"/>
      <color indexed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b/>
      <sz val="6"/>
      <color indexed="9"/>
      <name val="Calibri"/>
      <family val="2"/>
      <charset val="204"/>
      <scheme val="minor"/>
    </font>
    <font>
      <sz val="9"/>
      <color indexed="10"/>
      <name val="Calibri"/>
      <family val="2"/>
      <charset val="204"/>
      <scheme val="minor"/>
    </font>
    <font>
      <i/>
      <sz val="11"/>
      <color indexed="63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0"/>
      <color rgb="FFC00000"/>
      <name val="Arial Cyr"/>
      <charset val="204"/>
    </font>
    <font>
      <sz val="10"/>
      <color rgb="FFFF0000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rgb="FFFF0000"/>
        <bgColor indexed="64"/>
      </patternFill>
    </fill>
    <fill>
      <patternFill patternType="solid">
        <fgColor rgb="FFE30017"/>
        <bgColor indexed="64"/>
      </patternFill>
    </fill>
    <fill>
      <patternFill patternType="solid">
        <fgColor theme="1"/>
        <bgColor indexed="64"/>
      </patternFill>
    </fill>
  </fills>
  <borders count="7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theme="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indexed="64"/>
      </top>
      <bottom/>
      <diagonal/>
    </border>
    <border>
      <left/>
      <right style="medium">
        <color theme="0" tint="-0.249977111117893"/>
      </right>
      <top style="medium">
        <color indexed="64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indexed="64"/>
      </bottom>
      <diagonal/>
    </border>
    <border>
      <left/>
      <right style="medium">
        <color theme="0" tint="-0.249977111117893"/>
      </right>
      <top/>
      <bottom style="medium">
        <color indexed="64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indexed="64"/>
      </left>
      <right style="medium">
        <color theme="0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113">
    <xf numFmtId="0" fontId="0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5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5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5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48" fillId="0" borderId="0"/>
    <xf numFmtId="0" fontId="49" fillId="0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0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4" fillId="0" borderId="0"/>
    <xf numFmtId="0" fontId="48" fillId="0" borderId="0"/>
    <xf numFmtId="0" fontId="50" fillId="0" borderId="0"/>
    <xf numFmtId="0" fontId="27" fillId="2" borderId="0" applyNumberFormat="0" applyBorder="0" applyAlignment="0" applyProtection="0"/>
    <xf numFmtId="0" fontId="53" fillId="3" borderId="0" applyNumberFormat="0" applyBorder="0" applyAlignment="0" applyProtection="0"/>
    <xf numFmtId="0" fontId="27" fillId="2" borderId="0" applyNumberFormat="0" applyBorder="0" applyAlignment="0" applyProtection="0"/>
    <xf numFmtId="0" fontId="27" fillId="4" borderId="0" applyNumberFormat="0" applyBorder="0" applyAlignment="0" applyProtection="0"/>
    <xf numFmtId="0" fontId="53" fillId="5" borderId="0" applyNumberFormat="0" applyBorder="0" applyAlignment="0" applyProtection="0"/>
    <xf numFmtId="0" fontId="27" fillId="4" borderId="0" applyNumberFormat="0" applyBorder="0" applyAlignment="0" applyProtection="0"/>
    <xf numFmtId="0" fontId="27" fillId="6" borderId="0" applyNumberFormat="0" applyBorder="0" applyAlignment="0" applyProtection="0"/>
    <xf numFmtId="0" fontId="53" fillId="7" borderId="0" applyNumberFormat="0" applyBorder="0" applyAlignment="0" applyProtection="0"/>
    <xf numFmtId="0" fontId="27" fillId="6" borderId="0" applyNumberFormat="0" applyBorder="0" applyAlignment="0" applyProtection="0"/>
    <xf numFmtId="0" fontId="27" fillId="8" borderId="0" applyNumberFormat="0" applyBorder="0" applyAlignment="0" applyProtection="0"/>
    <xf numFmtId="0" fontId="53" fillId="9" borderId="0" applyNumberFormat="0" applyBorder="0" applyAlignment="0" applyProtection="0"/>
    <xf numFmtId="0" fontId="27" fillId="8" borderId="0" applyNumberFormat="0" applyBorder="0" applyAlignment="0" applyProtection="0"/>
    <xf numFmtId="0" fontId="27" fillId="10" borderId="0" applyNumberFormat="0" applyBorder="0" applyAlignment="0" applyProtection="0"/>
    <xf numFmtId="0" fontId="53" fillId="11" borderId="0" applyNumberFormat="0" applyBorder="0" applyAlignment="0" applyProtection="0"/>
    <xf numFmtId="0" fontId="27" fillId="10" borderId="0" applyNumberFormat="0" applyBorder="0" applyAlignment="0" applyProtection="0"/>
    <xf numFmtId="0" fontId="27" fillId="12" borderId="0" applyNumberFormat="0" applyBorder="0" applyAlignment="0" applyProtection="0"/>
    <xf numFmtId="0" fontId="53" fillId="4" borderId="0" applyNumberFormat="0" applyBorder="0" applyAlignment="0" applyProtection="0"/>
    <xf numFmtId="0" fontId="27" fillId="12" borderId="0" applyNumberFormat="0" applyBorder="0" applyAlignment="0" applyProtection="0"/>
    <xf numFmtId="0" fontId="54" fillId="2" borderId="0" applyNumberFormat="0" applyBorder="0" applyAlignment="0" applyProtection="0"/>
    <xf numFmtId="0" fontId="54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8" borderId="0" applyNumberFormat="0" applyBorder="0" applyAlignment="0" applyProtection="0"/>
    <xf numFmtId="0" fontId="54" fillId="10" borderId="0" applyNumberFormat="0" applyBorder="0" applyAlignment="0" applyProtection="0"/>
    <xf numFmtId="0" fontId="54" fillId="1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4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4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4" fillId="2" borderId="0" applyNumberFormat="0" applyBorder="0" applyAlignment="0" applyProtection="0"/>
    <xf numFmtId="0" fontId="53" fillId="2" borderId="0" applyNumberFormat="0" applyBorder="0" applyAlignment="0" applyProtection="0"/>
    <xf numFmtId="0" fontId="54" fillId="2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4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4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4" fillId="4" borderId="0" applyNumberFormat="0" applyBorder="0" applyAlignment="0" applyProtection="0"/>
    <xf numFmtId="0" fontId="53" fillId="4" borderId="0" applyNumberFormat="0" applyBorder="0" applyAlignment="0" applyProtection="0"/>
    <xf numFmtId="0" fontId="54" fillId="4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4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4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4" fillId="10" borderId="0" applyNumberFormat="0" applyBorder="0" applyAlignment="0" applyProtection="0"/>
    <xf numFmtId="0" fontId="53" fillId="10" borderId="0" applyNumberFormat="0" applyBorder="0" applyAlignment="0" applyProtection="0"/>
    <xf numFmtId="0" fontId="54" fillId="10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53" fillId="12" borderId="0" applyNumberFormat="0" applyBorder="0" applyAlignment="0" applyProtection="0"/>
    <xf numFmtId="0" fontId="54" fillId="1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1" borderId="0" applyNumberFormat="0" applyBorder="0" applyAlignment="0" applyProtection="0"/>
    <xf numFmtId="0" fontId="53" fillId="13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53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14" borderId="0" applyNumberFormat="0" applyBorder="0" applyAlignment="0" applyProtection="0"/>
    <xf numFmtId="0" fontId="53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8" borderId="0" applyNumberFormat="0" applyBorder="0" applyAlignment="0" applyProtection="0"/>
    <xf numFmtId="0" fontId="53" fillId="16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53" fillId="13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53" fillId="12" borderId="0" applyNumberFormat="0" applyBorder="0" applyAlignment="0" applyProtection="0"/>
    <xf numFmtId="0" fontId="27" fillId="17" borderId="0" applyNumberFormat="0" applyBorder="0" applyAlignment="0" applyProtection="0"/>
    <xf numFmtId="0" fontId="54" fillId="11" borderId="0" applyNumberFormat="0" applyBorder="0" applyAlignment="0" applyProtection="0"/>
    <xf numFmtId="0" fontId="54" fillId="5" borderId="0" applyNumberFormat="0" applyBorder="0" applyAlignment="0" applyProtection="0"/>
    <xf numFmtId="0" fontId="54" fillId="14" borderId="0" applyNumberFormat="0" applyBorder="0" applyAlignment="0" applyProtection="0"/>
    <xf numFmtId="0" fontId="54" fillId="8" borderId="0" applyNumberFormat="0" applyBorder="0" applyAlignment="0" applyProtection="0"/>
    <xf numFmtId="0" fontId="54" fillId="11" borderId="0" applyNumberFormat="0" applyBorder="0" applyAlignment="0" applyProtection="0"/>
    <xf numFmtId="0" fontId="54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4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4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4" fillId="5" borderId="0" applyNumberFormat="0" applyBorder="0" applyAlignment="0" applyProtection="0"/>
    <xf numFmtId="0" fontId="53" fillId="5" borderId="0" applyNumberFormat="0" applyBorder="0" applyAlignment="0" applyProtection="0"/>
    <xf numFmtId="0" fontId="54" fillId="5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4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1" borderId="0" applyNumberFormat="0" applyBorder="0" applyAlignment="0" applyProtection="0"/>
    <xf numFmtId="0" fontId="54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17" borderId="0" applyNumberFormat="0" applyBorder="0" applyAlignment="0" applyProtection="0"/>
    <xf numFmtId="0" fontId="53" fillId="17" borderId="0" applyNumberFormat="0" applyBorder="0" applyAlignment="0" applyProtection="0"/>
    <xf numFmtId="0" fontId="54" fillId="1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8" borderId="0" applyNumberFormat="0" applyBorder="0" applyAlignment="0" applyProtection="0"/>
    <xf numFmtId="0" fontId="55" fillId="13" borderId="0" applyNumberFormat="0" applyBorder="0" applyAlignment="0" applyProtection="0"/>
    <xf numFmtId="0" fontId="28" fillId="5" borderId="0" applyNumberFormat="0" applyBorder="0" applyAlignment="0" applyProtection="0"/>
    <xf numFmtId="0" fontId="55" fillId="5" borderId="0" applyNumberFormat="0" applyBorder="0" applyAlignment="0" applyProtection="0"/>
    <xf numFmtId="0" fontId="28" fillId="14" borderId="0" applyNumberFormat="0" applyBorder="0" applyAlignment="0" applyProtection="0"/>
    <xf numFmtId="0" fontId="55" fillId="15" borderId="0" applyNumberFormat="0" applyBorder="0" applyAlignment="0" applyProtection="0"/>
    <xf numFmtId="0" fontId="28" fillId="19" borderId="0" applyNumberFormat="0" applyBorder="0" applyAlignment="0" applyProtection="0"/>
    <xf numFmtId="0" fontId="55" fillId="16" borderId="0" applyNumberFormat="0" applyBorder="0" applyAlignment="0" applyProtection="0"/>
    <xf numFmtId="0" fontId="28" fillId="20" borderId="0" applyNumberFormat="0" applyBorder="0" applyAlignment="0" applyProtection="0"/>
    <xf numFmtId="0" fontId="55" fillId="13" borderId="0" applyNumberFormat="0" applyBorder="0" applyAlignment="0" applyProtection="0"/>
    <xf numFmtId="0" fontId="28" fillId="21" borderId="0" applyNumberFormat="0" applyBorder="0" applyAlignment="0" applyProtection="0"/>
    <xf numFmtId="0" fontId="55" fillId="12" borderId="0" applyNumberFormat="0" applyBorder="0" applyAlignment="0" applyProtection="0"/>
    <xf numFmtId="0" fontId="56" fillId="18" borderId="0" applyNumberFormat="0" applyBorder="0" applyAlignment="0" applyProtection="0"/>
    <xf numFmtId="0" fontId="56" fillId="5" borderId="0" applyNumberFormat="0" applyBorder="0" applyAlignment="0" applyProtection="0"/>
    <xf numFmtId="0" fontId="56" fillId="14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5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28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28" fillId="15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28" fillId="19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28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28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29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22" borderId="0" applyNumberFormat="0" applyBorder="0" applyAlignment="0" applyProtection="0"/>
    <xf numFmtId="0" fontId="56" fillId="27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37" borderId="0" applyNumberFormat="0" applyBorder="0" applyAlignment="0" applyProtection="0"/>
    <xf numFmtId="0" fontId="22" fillId="0" borderId="0">
      <alignment horizontal="center" wrapText="1"/>
      <protection locked="0"/>
    </xf>
    <xf numFmtId="0" fontId="57" fillId="16" borderId="1" applyNumberFormat="0" applyAlignment="0" applyProtection="0"/>
    <xf numFmtId="0" fontId="57" fillId="16" borderId="1" applyNumberFormat="0" applyAlignment="0" applyProtection="0"/>
    <xf numFmtId="0" fontId="39" fillId="4" borderId="0" applyNumberFormat="0" applyBorder="0" applyAlignment="0" applyProtection="0"/>
    <xf numFmtId="0" fontId="58" fillId="29" borderId="0" applyNumberFormat="0" applyBorder="0" applyAlignment="0" applyProtection="0"/>
    <xf numFmtId="0" fontId="59" fillId="16" borderId="2" applyNumberFormat="0" applyAlignment="0" applyProtection="0"/>
    <xf numFmtId="0" fontId="59" fillId="16" borderId="2" applyNumberFormat="0" applyAlignment="0" applyProtection="0"/>
    <xf numFmtId="0" fontId="15" fillId="0" borderId="0" applyFill="0" applyBorder="0" applyAlignment="0" applyProtection="0"/>
    <xf numFmtId="0" fontId="110" fillId="0" borderId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1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1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1" fillId="6" borderId="0" applyNumberFormat="0" applyBorder="0" applyAlignment="0" applyProtection="0"/>
    <xf numFmtId="0" fontId="60" fillId="6" borderId="0" applyNumberFormat="0" applyBorder="0" applyAlignment="0" applyProtection="0"/>
    <xf numFmtId="0" fontId="61" fillId="6" borderId="0" applyNumberFormat="0" applyBorder="0" applyAlignment="0" applyProtection="0"/>
    <xf numFmtId="188" fontId="15" fillId="0" borderId="0" applyFill="0" applyBorder="0" applyAlignment="0"/>
    <xf numFmtId="189" fontId="9" fillId="0" borderId="0" applyFill="0" applyBorder="0" applyAlignment="0"/>
    <xf numFmtId="170" fontId="9" fillId="0" borderId="0" applyFill="0" applyBorder="0" applyAlignment="0"/>
    <xf numFmtId="190" fontId="15" fillId="0" borderId="0" applyFill="0" applyBorder="0" applyAlignment="0"/>
    <xf numFmtId="191" fontId="15" fillId="0" borderId="0" applyFill="0" applyBorder="0" applyAlignment="0"/>
    <xf numFmtId="188" fontId="15" fillId="0" borderId="0" applyFill="0" applyBorder="0" applyAlignment="0"/>
    <xf numFmtId="192" fontId="15" fillId="0" borderId="0" applyFill="0" applyBorder="0" applyAlignment="0"/>
    <xf numFmtId="189" fontId="9" fillId="0" borderId="0" applyFill="0" applyBorder="0" applyAlignment="0"/>
    <xf numFmtId="0" fontId="31" fillId="16" borderId="2" applyNumberFormat="0" applyAlignment="0" applyProtection="0"/>
    <xf numFmtId="0" fontId="62" fillId="41" borderId="2" applyNumberFormat="0" applyAlignment="0" applyProtection="0"/>
    <xf numFmtId="0" fontId="62" fillId="41" borderId="2" applyNumberFormat="0" applyAlignment="0" applyProtection="0"/>
    <xf numFmtId="0" fontId="31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59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59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59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63" fillId="16" borderId="2" applyNumberFormat="0" applyAlignment="0" applyProtection="0"/>
    <xf numFmtId="0" fontId="59" fillId="16" borderId="2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5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5" fillId="42" borderId="3" applyNumberFormat="0" applyAlignment="0" applyProtection="0"/>
    <xf numFmtId="0" fontId="64" fillId="42" borderId="3" applyNumberFormat="0" applyAlignment="0" applyProtection="0"/>
    <xf numFmtId="0" fontId="64" fillId="42" borderId="3" applyNumberFormat="0" applyAlignment="0" applyProtection="0"/>
    <xf numFmtId="0" fontId="65" fillId="42" borderId="3" applyNumberFormat="0" applyAlignment="0" applyProtection="0"/>
    <xf numFmtId="0" fontId="64" fillId="42" borderId="3" applyNumberFormat="0" applyAlignment="0" applyProtection="0"/>
    <xf numFmtId="0" fontId="65" fillId="42" borderId="3" applyNumberFormat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7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7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7" fillId="0" borderId="4" applyNumberFormat="0" applyFill="0" applyAlignment="0" applyProtection="0"/>
    <xf numFmtId="0" fontId="66" fillId="0" borderId="4" applyNumberFormat="0" applyFill="0" applyAlignment="0" applyProtection="0"/>
    <xf numFmtId="0" fontId="67" fillId="0" borderId="4" applyNumberFormat="0" applyFill="0" applyAlignment="0" applyProtection="0"/>
    <xf numFmtId="0" fontId="36" fillId="42" borderId="3" applyNumberFormat="0" applyAlignment="0" applyProtection="0"/>
    <xf numFmtId="0" fontId="65" fillId="30" borderId="3" applyNumberFormat="0" applyAlignment="0" applyProtection="0"/>
    <xf numFmtId="0" fontId="60" fillId="43" borderId="5" applyFill="0" applyBorder="0" applyAlignment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4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188" fontId="15" fillId="0" borderId="0" applyFill="0" applyBorder="0" applyAlignment="0" applyProtection="0"/>
    <xf numFmtId="193" fontId="15" fillId="0" borderId="0" applyFill="0" applyBorder="0" applyAlignment="0" applyProtection="0"/>
    <xf numFmtId="0" fontId="68" fillId="0" borderId="0" applyNumberFormat="0" applyFill="0" applyBorder="0" applyAlignment="0" applyProtection="0"/>
    <xf numFmtId="0" fontId="112" fillId="0" borderId="0" applyNumberFormat="0" applyAlignment="0"/>
    <xf numFmtId="174" fontId="15" fillId="0" borderId="0" applyFont="0" applyFill="0" applyBorder="0" applyAlignment="0" applyProtection="0"/>
    <xf numFmtId="189" fontId="15" fillId="0" borderId="0" applyFill="0" applyBorder="0" applyAlignment="0" applyProtection="0"/>
    <xf numFmtId="175" fontId="15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4" fontId="90" fillId="0" borderId="0" applyFill="0" applyBorder="0" applyAlignment="0"/>
    <xf numFmtId="194" fontId="15" fillId="0" borderId="6">
      <alignment vertical="center"/>
    </xf>
    <xf numFmtId="0" fontId="69" fillId="12" borderId="2" applyNumberFormat="0" applyAlignment="0" applyProtection="0"/>
    <xf numFmtId="0" fontId="69" fillId="12" borderId="2" applyNumberFormat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22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6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6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6" fillId="27" borderId="0" applyNumberFormat="0" applyBorder="0" applyAlignment="0" applyProtection="0"/>
    <xf numFmtId="0" fontId="55" fillId="27" borderId="0" applyNumberFormat="0" applyBorder="0" applyAlignment="0" applyProtection="0"/>
    <xf numFmtId="0" fontId="56" fillId="27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15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19" borderId="0" applyNumberFormat="0" applyBorder="0" applyAlignment="0" applyProtection="0"/>
    <xf numFmtId="0" fontId="56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20" borderId="0" applyNumberFormat="0" applyBorder="0" applyAlignment="0" applyProtection="0"/>
    <xf numFmtId="0" fontId="56" fillId="20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188" fontId="15" fillId="0" borderId="0" applyFill="0" applyBorder="0" applyAlignment="0"/>
    <xf numFmtId="189" fontId="9" fillId="0" borderId="0" applyFill="0" applyBorder="0" applyAlignment="0"/>
    <xf numFmtId="188" fontId="15" fillId="0" borderId="0" applyFill="0" applyBorder="0" applyAlignment="0"/>
    <xf numFmtId="192" fontId="15" fillId="0" borderId="0" applyFill="0" applyBorder="0" applyAlignment="0"/>
    <xf numFmtId="189" fontId="9" fillId="0" borderId="0" applyFill="0" applyBorder="0" applyAlignment="0"/>
    <xf numFmtId="0" fontId="113" fillId="0" borderId="0" applyNumberFormat="0" applyAlignment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69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69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69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73" fillId="12" borderId="2" applyNumberFormat="0" applyAlignment="0" applyProtection="0"/>
    <xf numFmtId="0" fontId="69" fillId="12" borderId="2" applyNumberFormat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4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86" fontId="15" fillId="0" borderId="0" applyFill="0" applyBorder="0" applyAlignment="0" applyProtection="0"/>
    <xf numFmtId="177" fontId="7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" fontId="114" fillId="0" borderId="0">
      <alignment horizontal="left"/>
    </xf>
    <xf numFmtId="0" fontId="43" fillId="6" borderId="0" applyNumberFormat="0" applyBorder="0" applyAlignment="0" applyProtection="0"/>
    <xf numFmtId="0" fontId="61" fillId="47" borderId="0" applyNumberFormat="0" applyBorder="0" applyAlignment="0" applyProtection="0"/>
    <xf numFmtId="0" fontId="21" fillId="48" borderId="0" applyNumberFormat="0" applyBorder="0" applyAlignment="0" applyProtection="0"/>
    <xf numFmtId="0" fontId="61" fillId="6" borderId="0" applyNumberFormat="0" applyBorder="0" applyAlignment="0" applyProtection="0"/>
    <xf numFmtId="0" fontId="24" fillId="0" borderId="0" applyNumberFormat="0" applyFill="0" applyBorder="0" applyProtection="0">
      <alignment horizontal="right"/>
    </xf>
    <xf numFmtId="0" fontId="26" fillId="0" borderId="8" applyNumberFormat="0" applyAlignment="0" applyProtection="0"/>
    <xf numFmtId="0" fontId="26" fillId="0" borderId="9">
      <alignment horizontal="left" vertical="center"/>
    </xf>
    <xf numFmtId="0" fontId="32" fillId="0" borderId="10" applyNumberFormat="0" applyFill="0" applyAlignment="0" applyProtection="0"/>
    <xf numFmtId="0" fontId="68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68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77" fillId="0" borderId="13" applyNumberFormat="0" applyFill="0" applyAlignment="0" applyProtection="0"/>
    <xf numFmtId="0" fontId="3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14">
      <alignment horizontal="center"/>
    </xf>
    <xf numFmtId="0" fontId="115" fillId="0" borderId="0">
      <alignment horizontal="center"/>
    </xf>
    <xf numFmtId="0" fontId="14" fillId="0" borderId="0">
      <alignment horizontal="center"/>
    </xf>
    <xf numFmtId="0" fontId="4" fillId="0" borderId="0" applyNumberFormat="0" applyFill="0" applyBorder="0" applyAlignment="0" applyProtection="0">
      <alignment vertical="top"/>
      <protection locked="0"/>
    </xf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4" borderId="0" applyNumberFormat="0" applyBorder="0" applyAlignment="0" applyProtection="0"/>
    <xf numFmtId="0" fontId="29" fillId="12" borderId="2" applyNumberFormat="0" applyAlignment="0" applyProtection="0"/>
    <xf numFmtId="0" fontId="21" fillId="49" borderId="0" applyNumberFormat="0" applyBorder="0" applyAlignment="0" applyProtection="0"/>
    <xf numFmtId="0" fontId="80" fillId="39" borderId="2" applyNumberFormat="0" applyAlignment="0" applyProtection="0"/>
    <xf numFmtId="0" fontId="80" fillId="39" borderId="2" applyNumberFormat="0" applyAlignment="0" applyProtection="0"/>
    <xf numFmtId="0" fontId="29" fillId="12" borderId="2" applyNumberFormat="0" applyAlignment="0" applyProtection="0"/>
    <xf numFmtId="188" fontId="15" fillId="0" borderId="0" applyFill="0" applyBorder="0" applyAlignment="0"/>
    <xf numFmtId="189" fontId="9" fillId="0" borderId="0" applyFill="0" applyBorder="0" applyAlignment="0"/>
    <xf numFmtId="188" fontId="15" fillId="0" borderId="0" applyFill="0" applyBorder="0" applyAlignment="0"/>
    <xf numFmtId="192" fontId="15" fillId="0" borderId="0" applyFill="0" applyBorder="0" applyAlignment="0"/>
    <xf numFmtId="189" fontId="9" fillId="0" borderId="0" applyFill="0" applyBorder="0" applyAlignment="0"/>
    <xf numFmtId="0" fontId="41" fillId="0" borderId="4" applyNumberFormat="0" applyFill="0" applyAlignment="0" applyProtection="0"/>
    <xf numFmtId="0" fontId="81" fillId="0" borderId="15" applyNumberFormat="0" applyFill="0" applyAlignment="0" applyProtection="0"/>
    <xf numFmtId="0" fontId="14" fillId="0" borderId="0">
      <alignment horizontal="center"/>
    </xf>
    <xf numFmtId="195" fontId="15" fillId="0" borderId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38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3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3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3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3" fillId="50" borderId="0" applyNumberFormat="0" applyBorder="0" applyAlignment="0" applyProtection="0"/>
    <xf numFmtId="196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1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6" fillId="0" borderId="0"/>
    <xf numFmtId="0" fontId="84" fillId="0" borderId="0"/>
    <xf numFmtId="0" fontId="109" fillId="0" borderId="0"/>
    <xf numFmtId="0" fontId="52" fillId="0" borderId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14" fillId="7" borderId="16" applyNumberFormat="0" applyFont="0" applyAlignment="0" applyProtection="0"/>
    <xf numFmtId="0" fontId="7" fillId="7" borderId="16" applyNumberFormat="0" applyFont="0" applyAlignment="0" applyProtection="0"/>
    <xf numFmtId="0" fontId="14" fillId="38" borderId="16" applyNumberFormat="0" applyFont="0" applyAlignment="0" applyProtection="0"/>
    <xf numFmtId="0" fontId="14" fillId="38" borderId="16" applyNumberFormat="0" applyFont="0" applyAlignment="0" applyProtection="0"/>
    <xf numFmtId="0" fontId="7" fillId="7" borderId="16" applyNumberFormat="0" applyFont="0" applyAlignment="0" applyProtection="0"/>
    <xf numFmtId="0" fontId="54" fillId="7" borderId="16" applyNumberFormat="0" applyFont="0" applyAlignment="0" applyProtection="0"/>
    <xf numFmtId="0" fontId="54" fillId="7" borderId="16" applyNumberFormat="0" applyFont="0" applyAlignment="0" applyProtection="0"/>
    <xf numFmtId="0" fontId="14" fillId="0" borderId="0"/>
    <xf numFmtId="0" fontId="85" fillId="0" borderId="0"/>
    <xf numFmtId="0" fontId="30" fillId="16" borderId="1" applyNumberFormat="0" applyAlignment="0" applyProtection="0"/>
    <xf numFmtId="0" fontId="57" fillId="41" borderId="1" applyNumberFormat="0" applyAlignment="0" applyProtection="0"/>
    <xf numFmtId="0" fontId="57" fillId="41" borderId="1" applyNumberFormat="0" applyAlignment="0" applyProtection="0"/>
    <xf numFmtId="0" fontId="30" fillId="16" borderId="1" applyNumberFormat="0" applyAlignment="0" applyProtection="0"/>
    <xf numFmtId="14" fontId="22" fillId="0" borderId="0">
      <alignment horizontal="center" wrapText="1"/>
      <protection locked="0"/>
    </xf>
    <xf numFmtId="173" fontId="15" fillId="0" borderId="0" applyFill="0" applyBorder="0" applyAlignment="0" applyProtection="0"/>
    <xf numFmtId="191" fontId="15" fillId="0" borderId="0" applyFill="0" applyBorder="0" applyAlignment="0" applyProtection="0"/>
    <xf numFmtId="197" fontId="15" fillId="0" borderId="0" applyFill="0" applyBorder="0" applyAlignment="0" applyProtection="0"/>
    <xf numFmtId="10" fontId="15" fillId="0" borderId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5" fillId="0" borderId="0" applyFill="0" applyBorder="0" applyAlignment="0"/>
    <xf numFmtId="189" fontId="9" fillId="0" borderId="0" applyFill="0" applyBorder="0" applyAlignment="0"/>
    <xf numFmtId="188" fontId="15" fillId="0" borderId="0" applyFill="0" applyBorder="0" applyAlignment="0"/>
    <xf numFmtId="192" fontId="15" fillId="0" borderId="0" applyFill="0" applyBorder="0" applyAlignment="0"/>
    <xf numFmtId="189" fontId="9" fillId="0" borderId="0" applyFill="0" applyBorder="0" applyAlignment="0"/>
    <xf numFmtId="0" fontId="15" fillId="51" borderId="0" applyNumberFormat="0" applyBorder="0" applyAlignment="0"/>
    <xf numFmtId="0" fontId="15" fillId="0" borderId="0" applyNumberFormat="0" applyFill="0" applyBorder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57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57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57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86" fillId="16" borderId="1" applyNumberFormat="0" applyAlignment="0" applyProtection="0"/>
    <xf numFmtId="0" fontId="57" fillId="16" borderId="1" applyNumberFormat="0" applyAlignment="0" applyProtection="0"/>
    <xf numFmtId="4" fontId="53" fillId="52" borderId="1" applyNumberFormat="0" applyProtection="0">
      <alignment vertical="center"/>
    </xf>
    <xf numFmtId="4" fontId="53" fillId="52" borderId="1" applyNumberFormat="0" applyProtection="0">
      <alignment vertical="center"/>
    </xf>
    <xf numFmtId="4" fontId="87" fillId="52" borderId="17" applyNumberFormat="0" applyProtection="0">
      <alignment vertical="center"/>
    </xf>
    <xf numFmtId="4" fontId="87" fillId="52" borderId="17" applyNumberFormat="0" applyProtection="0">
      <alignment vertical="center"/>
    </xf>
    <xf numFmtId="4" fontId="53" fillId="52" borderId="1" applyNumberFormat="0" applyProtection="0">
      <alignment horizontal="left" vertical="center" indent="1"/>
    </xf>
    <xf numFmtId="4" fontId="53" fillId="52" borderId="1" applyNumberFormat="0" applyProtection="0">
      <alignment horizontal="left" vertical="center" indent="1"/>
    </xf>
    <xf numFmtId="4" fontId="53" fillId="52" borderId="1" applyNumberFormat="0" applyProtection="0">
      <alignment horizontal="left" vertical="center" indent="1"/>
    </xf>
    <xf numFmtId="4" fontId="53" fillId="52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4" fontId="53" fillId="4" borderId="17" applyNumberFormat="0" applyProtection="0">
      <alignment horizontal="right" vertical="center"/>
    </xf>
    <xf numFmtId="4" fontId="53" fillId="4" borderId="17" applyNumberFormat="0" applyProtection="0">
      <alignment horizontal="right" vertical="center"/>
    </xf>
    <xf numFmtId="4" fontId="53" fillId="5" borderId="17" applyNumberFormat="0" applyProtection="0">
      <alignment horizontal="right" vertical="center"/>
    </xf>
    <xf numFmtId="4" fontId="53" fillId="5" borderId="17" applyNumberFormat="0" applyProtection="0">
      <alignment horizontal="right" vertical="center"/>
    </xf>
    <xf numFmtId="4" fontId="53" fillId="27" borderId="17" applyNumberFormat="0" applyProtection="0">
      <alignment horizontal="right" vertical="center"/>
    </xf>
    <xf numFmtId="4" fontId="53" fillId="27" borderId="17" applyNumberFormat="0" applyProtection="0">
      <alignment horizontal="right" vertical="center"/>
    </xf>
    <xf numFmtId="4" fontId="53" fillId="17" borderId="17" applyNumberFormat="0" applyProtection="0">
      <alignment horizontal="right" vertical="center"/>
    </xf>
    <xf numFmtId="4" fontId="53" fillId="17" borderId="17" applyNumberFormat="0" applyProtection="0">
      <alignment horizontal="right" vertical="center"/>
    </xf>
    <xf numFmtId="4" fontId="53" fillId="21" borderId="17" applyNumberFormat="0" applyProtection="0">
      <alignment horizontal="right" vertical="center"/>
    </xf>
    <xf numFmtId="4" fontId="53" fillId="21" borderId="17" applyNumberFormat="0" applyProtection="0">
      <alignment horizontal="right" vertical="center"/>
    </xf>
    <xf numFmtId="4" fontId="53" fillId="37" borderId="17" applyNumberFormat="0" applyProtection="0">
      <alignment horizontal="right" vertical="center"/>
    </xf>
    <xf numFmtId="4" fontId="53" fillId="37" borderId="17" applyNumberFormat="0" applyProtection="0">
      <alignment horizontal="right" vertical="center"/>
    </xf>
    <xf numFmtId="4" fontId="53" fillId="15" borderId="17" applyNumberFormat="0" applyProtection="0">
      <alignment horizontal="right" vertical="center"/>
    </xf>
    <xf numFmtId="4" fontId="53" fillId="15" borderId="17" applyNumberFormat="0" applyProtection="0">
      <alignment horizontal="right" vertical="center"/>
    </xf>
    <xf numFmtId="4" fontId="53" fillId="54" borderId="17" applyNumberFormat="0" applyProtection="0">
      <alignment horizontal="right" vertical="center"/>
    </xf>
    <xf numFmtId="4" fontId="53" fillId="54" borderId="17" applyNumberFormat="0" applyProtection="0">
      <alignment horizontal="right" vertical="center"/>
    </xf>
    <xf numFmtId="4" fontId="53" fillId="14" borderId="17" applyNumberFormat="0" applyProtection="0">
      <alignment horizontal="right" vertical="center"/>
    </xf>
    <xf numFmtId="4" fontId="53" fillId="14" borderId="17" applyNumberFormat="0" applyProtection="0">
      <alignment horizontal="right" vertical="center"/>
    </xf>
    <xf numFmtId="4" fontId="88" fillId="55" borderId="1" applyNumberFormat="0" applyProtection="0">
      <alignment horizontal="left" vertical="center" indent="1"/>
    </xf>
    <xf numFmtId="4" fontId="88" fillId="55" borderId="1" applyNumberFormat="0" applyProtection="0">
      <alignment horizontal="left" vertical="center" indent="1"/>
    </xf>
    <xf numFmtId="4" fontId="53" fillId="56" borderId="18" applyNumberFormat="0" applyProtection="0">
      <alignment horizontal="left" vertical="center" indent="1"/>
    </xf>
    <xf numFmtId="4" fontId="53" fillId="56" borderId="18" applyNumberFormat="0" applyProtection="0">
      <alignment horizontal="left" vertical="center" indent="1"/>
    </xf>
    <xf numFmtId="4" fontId="89" fillId="57" borderId="0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4" fontId="90" fillId="56" borderId="1" applyNumberFormat="0" applyProtection="0">
      <alignment horizontal="left" vertical="center" indent="1"/>
    </xf>
    <xf numFmtId="4" fontId="90" fillId="56" borderId="1" applyNumberFormat="0" applyProtection="0">
      <alignment horizontal="left" vertical="center" indent="1"/>
    </xf>
    <xf numFmtId="4" fontId="90" fillId="58" borderId="1" applyNumberFormat="0" applyProtection="0">
      <alignment horizontal="left" vertical="center" indent="1"/>
    </xf>
    <xf numFmtId="4" fontId="90" fillId="58" borderId="1" applyNumberFormat="0" applyProtection="0">
      <alignment horizontal="left" vertical="center" indent="1"/>
    </xf>
    <xf numFmtId="0" fontId="14" fillId="57" borderId="17" applyNumberFormat="0" applyProtection="0">
      <alignment horizontal="left" vertical="center" indent="1"/>
    </xf>
    <xf numFmtId="0" fontId="14" fillId="57" borderId="17" applyNumberFormat="0" applyProtection="0">
      <alignment horizontal="left" vertical="center" indent="1"/>
    </xf>
    <xf numFmtId="0" fontId="14" fillId="57" borderId="17" applyNumberFormat="0" applyProtection="0">
      <alignment horizontal="left" vertical="top" indent="1"/>
    </xf>
    <xf numFmtId="0" fontId="14" fillId="57" borderId="17" applyNumberFormat="0" applyProtection="0">
      <alignment horizontal="left" vertical="top" indent="1"/>
    </xf>
    <xf numFmtId="0" fontId="14" fillId="59" borderId="17" applyNumberFormat="0" applyProtection="0">
      <alignment horizontal="left" vertical="center" indent="1"/>
    </xf>
    <xf numFmtId="0" fontId="14" fillId="59" borderId="17" applyNumberFormat="0" applyProtection="0">
      <alignment horizontal="left" vertical="center" indent="1"/>
    </xf>
    <xf numFmtId="0" fontId="14" fillId="59" borderId="17" applyNumberFormat="0" applyProtection="0">
      <alignment horizontal="left" vertical="top" indent="1"/>
    </xf>
    <xf numFmtId="0" fontId="14" fillId="59" borderId="17" applyNumberFormat="0" applyProtection="0">
      <alignment horizontal="left" vertical="top" indent="1"/>
    </xf>
    <xf numFmtId="0" fontId="14" fillId="60" borderId="17" applyNumberFormat="0" applyProtection="0">
      <alignment horizontal="left" vertical="center" indent="1"/>
    </xf>
    <xf numFmtId="0" fontId="14" fillId="60" borderId="17" applyNumberFormat="0" applyProtection="0">
      <alignment horizontal="left" vertical="center" indent="1"/>
    </xf>
    <xf numFmtId="0" fontId="14" fillId="60" borderId="17" applyNumberFormat="0" applyProtection="0">
      <alignment horizontal="left" vertical="top" indent="1"/>
    </xf>
    <xf numFmtId="0" fontId="14" fillId="60" borderId="17" applyNumberFormat="0" applyProtection="0">
      <alignment horizontal="left" vertical="top" indent="1"/>
    </xf>
    <xf numFmtId="0" fontId="14" fillId="61" borderId="17" applyNumberFormat="0" applyProtection="0">
      <alignment horizontal="left" vertical="center" indent="1"/>
    </xf>
    <xf numFmtId="0" fontId="14" fillId="61" borderId="17" applyNumberFormat="0" applyProtection="0">
      <alignment horizontal="left" vertical="center" indent="1"/>
    </xf>
    <xf numFmtId="0" fontId="14" fillId="61" borderId="17" applyNumberFormat="0" applyProtection="0">
      <alignment horizontal="left" vertical="top" indent="1"/>
    </xf>
    <xf numFmtId="0" fontId="14" fillId="61" borderId="17" applyNumberFormat="0" applyProtection="0">
      <alignment horizontal="left" vertical="top" indent="1"/>
    </xf>
    <xf numFmtId="0" fontId="14" fillId="9" borderId="19" applyNumberFormat="0">
      <protection locked="0"/>
    </xf>
    <xf numFmtId="0" fontId="14" fillId="9" borderId="19" applyNumberFormat="0">
      <protection locked="0"/>
    </xf>
    <xf numFmtId="4" fontId="53" fillId="62" borderId="17" applyNumberFormat="0" applyProtection="0">
      <alignment vertical="center"/>
    </xf>
    <xf numFmtId="4" fontId="53" fillId="62" borderId="17" applyNumberFormat="0" applyProtection="0">
      <alignment vertical="center"/>
    </xf>
    <xf numFmtId="4" fontId="91" fillId="62" borderId="17" applyNumberFormat="0" applyProtection="0">
      <alignment vertical="center"/>
    </xf>
    <xf numFmtId="4" fontId="91" fillId="62" borderId="17" applyNumberFormat="0" applyProtection="0">
      <alignment vertical="center"/>
    </xf>
    <xf numFmtId="4" fontId="53" fillId="62" borderId="17" applyNumberFormat="0" applyProtection="0">
      <alignment horizontal="left" vertical="center" indent="1"/>
    </xf>
    <xf numFmtId="4" fontId="53" fillId="62" borderId="17" applyNumberFormat="0" applyProtection="0">
      <alignment horizontal="left" vertical="center" indent="1"/>
    </xf>
    <xf numFmtId="0" fontId="53" fillId="62" borderId="17" applyNumberFormat="0" applyProtection="0">
      <alignment horizontal="left" vertical="top" indent="1"/>
    </xf>
    <xf numFmtId="0" fontId="53" fillId="62" borderId="17" applyNumberFormat="0" applyProtection="0">
      <alignment horizontal="left" vertical="top" indent="1"/>
    </xf>
    <xf numFmtId="4" fontId="53" fillId="56" borderId="1" applyNumberFormat="0" applyProtection="0">
      <alignment horizontal="right" vertical="center"/>
    </xf>
    <xf numFmtId="4" fontId="53" fillId="56" borderId="1" applyNumberFormat="0" applyProtection="0">
      <alignment horizontal="right" vertical="center"/>
    </xf>
    <xf numFmtId="4" fontId="91" fillId="63" borderId="17" applyNumberFormat="0" applyProtection="0">
      <alignment horizontal="right" vertical="center"/>
    </xf>
    <xf numFmtId="4" fontId="91" fillId="63" borderId="17" applyNumberFormat="0" applyProtection="0">
      <alignment horizontal="right" vertical="center"/>
    </xf>
    <xf numFmtId="0" fontId="15" fillId="53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0" fontId="15" fillId="53" borderId="1" applyNumberFormat="0" applyProtection="0">
      <alignment horizontal="left" vertical="center" indent="1"/>
    </xf>
    <xf numFmtId="0" fontId="92" fillId="0" borderId="0"/>
    <xf numFmtId="4" fontId="93" fillId="63" borderId="17" applyNumberFormat="0" applyProtection="0">
      <alignment horizontal="right" vertical="center"/>
    </xf>
    <xf numFmtId="4" fontId="93" fillId="63" borderId="17" applyNumberFormat="0" applyProtection="0">
      <alignment horizontal="right" vertical="center"/>
    </xf>
    <xf numFmtId="0" fontId="79" fillId="4" borderId="0" applyNumberFormat="0" applyBorder="0" applyAlignment="0" applyProtection="0"/>
    <xf numFmtId="0" fontId="15" fillId="64" borderId="9" applyNumberFormat="0" applyAlignment="0"/>
    <xf numFmtId="0" fontId="94" fillId="0" borderId="0" applyNumberFormat="0" applyFill="0" applyBorder="0" applyAlignment="0" applyProtection="0"/>
    <xf numFmtId="0" fontId="117" fillId="0" borderId="0" applyNumberFormat="0" applyFill="0" applyBorder="0" applyAlignment="0"/>
    <xf numFmtId="0" fontId="95" fillId="0" borderId="0"/>
    <xf numFmtId="40" fontId="118" fillId="0" borderId="0" applyBorder="0">
      <alignment horizontal="right"/>
    </xf>
    <xf numFmtId="49" fontId="90" fillId="0" borderId="0" applyFill="0" applyBorder="0" applyAlignment="0"/>
    <xf numFmtId="198" fontId="15" fillId="0" borderId="0" applyFill="0" applyBorder="0" applyAlignment="0"/>
    <xf numFmtId="199" fontId="15" fillId="0" borderId="0" applyFill="0" applyBorder="0" applyAlignment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0" borderId="10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1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1" fillId="0" borderId="11" applyNumberFormat="0" applyFill="0" applyAlignment="0" applyProtection="0"/>
    <xf numFmtId="0" fontId="100" fillId="0" borderId="11" applyNumberFormat="0" applyFill="0" applyAlignment="0" applyProtection="0"/>
    <xf numFmtId="0" fontId="100" fillId="0" borderId="11" applyNumberFormat="0" applyFill="0" applyAlignment="0" applyProtection="0"/>
    <xf numFmtId="0" fontId="101" fillId="0" borderId="11" applyNumberFormat="0" applyFill="0" applyAlignment="0" applyProtection="0"/>
    <xf numFmtId="0" fontId="100" fillId="0" borderId="11" applyNumberFormat="0" applyFill="0" applyAlignment="0" applyProtection="0"/>
    <xf numFmtId="0" fontId="101" fillId="0" borderId="11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2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2" fillId="0" borderId="12" applyNumberFormat="0" applyFill="0" applyAlignment="0" applyProtection="0"/>
    <xf numFmtId="0" fontId="71" fillId="0" borderId="12" applyNumberFormat="0" applyFill="0" applyAlignment="0" applyProtection="0"/>
    <xf numFmtId="0" fontId="71" fillId="0" borderId="12" applyNumberFormat="0" applyFill="0" applyAlignment="0" applyProtection="0"/>
    <xf numFmtId="0" fontId="72" fillId="0" borderId="12" applyNumberFormat="0" applyFill="0" applyAlignment="0" applyProtection="0"/>
    <xf numFmtId="0" fontId="71" fillId="0" borderId="12" applyNumberFormat="0" applyFill="0" applyAlignment="0" applyProtection="0"/>
    <xf numFmtId="0" fontId="72" fillId="0" borderId="1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5" fillId="0" borderId="7" applyNumberFormat="0" applyFill="0" applyAlignment="0" applyProtection="0"/>
    <xf numFmtId="200" fontId="20" fillId="0" borderId="0">
      <alignment vertical="center"/>
    </xf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70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70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70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35" fillId="0" borderId="7" applyNumberFormat="0" applyFill="0" applyAlignment="0" applyProtection="0"/>
    <xf numFmtId="200" fontId="20" fillId="0" borderId="0">
      <alignment vertical="center"/>
    </xf>
    <xf numFmtId="200" fontId="20" fillId="0" borderId="0">
      <alignment vertical="center"/>
    </xf>
    <xf numFmtId="0" fontId="68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9" fillId="0" borderId="10" applyNumberFormat="0" applyFill="0" applyAlignment="0" applyProtection="0"/>
    <xf numFmtId="0" fontId="101" fillId="0" borderId="11" applyNumberFormat="0" applyFill="0" applyAlignment="0" applyProtection="0"/>
    <xf numFmtId="0" fontId="72" fillId="0" borderId="12" applyNumberFormat="0" applyFill="0" applyAlignment="0" applyProtection="0"/>
    <xf numFmtId="0" fontId="72" fillId="0" borderId="0" applyNumberFormat="0" applyFill="0" applyBorder="0" applyAlignment="0" applyProtection="0"/>
    <xf numFmtId="201" fontId="15" fillId="0" borderId="0" applyFill="0" applyBorder="0" applyAlignment="0" applyProtection="0"/>
    <xf numFmtId="0" fontId="67" fillId="0" borderId="4" applyNumberFormat="0" applyFill="0" applyAlignment="0" applyProtection="0"/>
    <xf numFmtId="0" fontId="14" fillId="0" borderId="0">
      <alignment horizontal="center" textRotation="180"/>
    </xf>
    <xf numFmtId="185" fontId="1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7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5" fillId="42" borderId="3" applyNumberFormat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37" borderId="0" applyNumberFormat="0" applyBorder="0" applyAlignment="0" applyProtection="0"/>
    <xf numFmtId="0" fontId="29" fillId="12" borderId="2" applyNumberFormat="0" applyAlignment="0" applyProtection="0"/>
    <xf numFmtId="0" fontId="29" fillId="12" borderId="2" applyNumberFormat="0" applyAlignment="0" applyProtection="0"/>
    <xf numFmtId="0" fontId="30" fillId="16" borderId="1" applyNumberFormat="0" applyAlignment="0" applyProtection="0"/>
    <xf numFmtId="0" fontId="30" fillId="16" borderId="1" applyNumberFormat="0" applyAlignment="0" applyProtection="0"/>
    <xf numFmtId="0" fontId="31" fillId="16" borderId="2" applyNumberFormat="0" applyAlignment="0" applyProtection="0"/>
    <xf numFmtId="0" fontId="31" fillId="16" borderId="2" applyNumberFormat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2" fontId="3" fillId="0" borderId="0" applyFont="0" applyFill="0" applyBorder="0" applyAlignment="0" applyProtection="0"/>
    <xf numFmtId="42" fontId="7" fillId="0" borderId="0" applyFont="0" applyFill="0" applyBorder="0" applyAlignment="0" applyProtection="0"/>
    <xf numFmtId="169" fontId="15" fillId="0" borderId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87" fontId="15" fillId="0" borderId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4" fillId="0" borderId="12" applyNumberFormat="0" applyFill="0" applyAlignment="0" applyProtection="0"/>
    <xf numFmtId="0" fontId="34" fillId="0" borderId="0" applyNumberFormat="0" applyFill="0" applyBorder="0" applyAlignment="0" applyProtection="0"/>
    <xf numFmtId="0" fontId="133" fillId="0" borderId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36" fillId="42" borderId="3" applyNumberFormat="0" applyAlignment="0" applyProtection="0"/>
    <xf numFmtId="0" fontId="37" fillId="0" borderId="0" applyNumberFormat="0" applyFill="0" applyBorder="0" applyAlignment="0" applyProtection="0"/>
    <xf numFmtId="0" fontId="38" fillId="50" borderId="0" applyNumberFormat="0" applyBorder="0" applyAlignment="0" applyProtection="0"/>
    <xf numFmtId="0" fontId="15" fillId="0" borderId="0"/>
    <xf numFmtId="0" fontId="53" fillId="0" borderId="0">
      <alignment vertical="top"/>
    </xf>
    <xf numFmtId="0" fontId="15" fillId="0" borderId="0"/>
    <xf numFmtId="0" fontId="133" fillId="0" borderId="0"/>
    <xf numFmtId="0" fontId="15" fillId="0" borderId="0"/>
    <xf numFmtId="0" fontId="15" fillId="0" borderId="0" applyNumberFormat="0" applyFont="0" applyFill="0" applyBorder="0" applyAlignment="0" applyProtection="0">
      <alignment vertical="top"/>
    </xf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19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1" fillId="0" borderId="0"/>
    <xf numFmtId="0" fontId="131" fillId="0" borderId="0"/>
    <xf numFmtId="0" fontId="15" fillId="0" borderId="0"/>
    <xf numFmtId="0" fontId="27" fillId="0" borderId="0"/>
    <xf numFmtId="0" fontId="119" fillId="0" borderId="0"/>
    <xf numFmtId="0" fontId="27" fillId="0" borderId="0"/>
    <xf numFmtId="0" fontId="133" fillId="0" borderId="0"/>
    <xf numFmtId="0" fontId="2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5" fillId="0" borderId="0"/>
    <xf numFmtId="0" fontId="119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5" fillId="0" borderId="0"/>
    <xf numFmtId="0" fontId="15" fillId="0" borderId="0"/>
    <xf numFmtId="0" fontId="54" fillId="0" borderId="0"/>
    <xf numFmtId="0" fontId="119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1" fillId="0" borderId="0"/>
    <xf numFmtId="0" fontId="119" fillId="0" borderId="0"/>
    <xf numFmtId="0" fontId="51" fillId="0" borderId="0"/>
    <xf numFmtId="0" fontId="119" fillId="0" borderId="0"/>
    <xf numFmtId="0" fontId="15" fillId="0" borderId="0"/>
    <xf numFmtId="0" fontId="15" fillId="0" borderId="0"/>
    <xf numFmtId="0" fontId="39" fillId="4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7" borderId="16" applyNumberFormat="0" applyFont="0" applyAlignment="0" applyProtection="0"/>
    <xf numFmtId="0" fontId="7" fillId="7" borderId="1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ill="0" applyBorder="0" applyAlignment="0" applyProtection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1" fillId="0" borderId="4" applyNumberFormat="0" applyFill="0" applyAlignment="0" applyProtection="0"/>
    <xf numFmtId="0" fontId="49" fillId="0" borderId="0"/>
    <xf numFmtId="0" fontId="52" fillId="0" borderId="0"/>
    <xf numFmtId="0" fontId="48" fillId="0" borderId="0"/>
    <xf numFmtId="0" fontId="15" fillId="0" borderId="0"/>
    <xf numFmtId="0" fontId="48" fillId="0" borderId="0"/>
    <xf numFmtId="0" fontId="15" fillId="0" borderId="0"/>
    <xf numFmtId="0" fontId="10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1" fontId="53" fillId="0" borderId="0" applyFill="0" applyBorder="0" applyProtection="0">
      <alignment vertical="top"/>
    </xf>
    <xf numFmtId="184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83" fontId="14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2" fontId="15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2" fontId="53" fillId="0" borderId="0" applyFill="0" applyBorder="0" applyProtection="0">
      <alignment vertical="top"/>
    </xf>
    <xf numFmtId="182" fontId="53" fillId="0" borderId="0" applyFill="0" applyBorder="0" applyProtection="0">
      <alignment vertical="top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02" fontId="15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2" fontId="13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2" fontId="13" fillId="0" borderId="0" applyFill="0" applyBorder="0" applyAlignment="0" applyProtection="0"/>
    <xf numFmtId="43" fontId="7" fillId="0" borderId="0" applyFont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3" fillId="0" borderId="0" applyFill="0" applyBorder="0" applyAlignment="0" applyProtection="0"/>
    <xf numFmtId="182" fontId="13" fillId="0" borderId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3" fillId="6" borderId="0" applyNumberFormat="0" applyBorder="0" applyAlignment="0" applyProtection="0"/>
    <xf numFmtId="0" fontId="106" fillId="0" borderId="0">
      <alignment vertical="center"/>
    </xf>
    <xf numFmtId="0" fontId="107" fillId="0" borderId="0"/>
    <xf numFmtId="0" fontId="14" fillId="0" borderId="0"/>
    <xf numFmtId="0" fontId="51" fillId="0" borderId="0"/>
    <xf numFmtId="0" fontId="25" fillId="0" borderId="0">
      <alignment vertical="center"/>
    </xf>
    <xf numFmtId="0" fontId="25" fillId="0" borderId="0"/>
    <xf numFmtId="0" fontId="14" fillId="0" borderId="0"/>
    <xf numFmtId="0" fontId="2" fillId="0" borderId="0"/>
    <xf numFmtId="0" fontId="3" fillId="0" borderId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8" fillId="0" borderId="0"/>
    <xf numFmtId="0" fontId="3" fillId="0" borderId="0"/>
  </cellStyleXfs>
  <cellXfs count="892">
    <xf numFmtId="0" fontId="0" fillId="0" borderId="0" xfId="0"/>
    <xf numFmtId="0" fontId="0" fillId="0" borderId="0" xfId="0" applyFill="1"/>
    <xf numFmtId="0" fontId="10" fillId="0" borderId="0" xfId="0" applyFont="1"/>
    <xf numFmtId="0" fontId="11" fillId="0" borderId="0" xfId="0" applyFont="1"/>
    <xf numFmtId="0" fontId="7" fillId="0" borderId="0" xfId="0" applyFont="1"/>
    <xf numFmtId="0" fontId="8" fillId="0" borderId="0" xfId="0" applyFont="1"/>
    <xf numFmtId="172" fontId="8" fillId="0" borderId="0" xfId="0" applyNumberFormat="1" applyFont="1"/>
    <xf numFmtId="0" fontId="15" fillId="0" borderId="0" xfId="0" applyFont="1"/>
    <xf numFmtId="0" fontId="8" fillId="0" borderId="0" xfId="0" applyFont="1" applyBorder="1"/>
    <xf numFmtId="0" fontId="15" fillId="0" borderId="0" xfId="0" applyFont="1" applyFill="1"/>
    <xf numFmtId="0" fontId="8" fillId="65" borderId="0" xfId="0" applyFont="1" applyFill="1"/>
    <xf numFmtId="0" fontId="0" fillId="65" borderId="0" xfId="0" applyFill="1"/>
    <xf numFmtId="0" fontId="22" fillId="0" borderId="0" xfId="0" applyFont="1"/>
    <xf numFmtId="0" fontId="9" fillId="0" borderId="0" xfId="0" applyFont="1"/>
    <xf numFmtId="0" fontId="23" fillId="0" borderId="0" xfId="0" applyFont="1"/>
    <xf numFmtId="0" fontId="8" fillId="0" borderId="0" xfId="0" applyFont="1" applyFill="1"/>
    <xf numFmtId="0" fontId="0" fillId="43" borderId="0" xfId="0" applyFill="1"/>
    <xf numFmtId="0" fontId="45" fillId="65" borderId="0" xfId="0" applyFont="1" applyFill="1" applyBorder="1" applyAlignment="1">
      <alignment horizontal="center" vertical="center"/>
    </xf>
    <xf numFmtId="0" fontId="23" fillId="65" borderId="0" xfId="0" applyFont="1" applyFill="1"/>
    <xf numFmtId="0" fontId="0" fillId="68" borderId="0" xfId="0" applyFill="1"/>
    <xf numFmtId="0" fontId="8" fillId="68" borderId="0" xfId="0" applyFont="1" applyFill="1"/>
    <xf numFmtId="0" fontId="15" fillId="0" borderId="0" xfId="0" applyFont="1" applyAlignment="1">
      <alignment horizontal="center"/>
    </xf>
    <xf numFmtId="0" fontId="0" fillId="0" borderId="0" xfId="0" applyBorder="1"/>
    <xf numFmtId="0" fontId="0" fillId="67" borderId="0" xfId="0" applyFill="1"/>
    <xf numFmtId="0" fontId="123" fillId="65" borderId="0" xfId="1321" applyFont="1" applyFill="1" applyBorder="1" applyAlignment="1" applyProtection="1"/>
    <xf numFmtId="0" fontId="0" fillId="58" borderId="0" xfId="0" applyFill="1"/>
    <xf numFmtId="0" fontId="0" fillId="70" borderId="0" xfId="0" applyFill="1"/>
    <xf numFmtId="0" fontId="123" fillId="70" borderId="0" xfId="1321" applyFont="1" applyFill="1" applyBorder="1" applyAlignment="1" applyProtection="1"/>
    <xf numFmtId="0" fontId="134" fillId="65" borderId="0" xfId="0" applyFont="1" applyFill="1"/>
    <xf numFmtId="0" fontId="0" fillId="70" borderId="0" xfId="0" applyFill="1" applyBorder="1"/>
    <xf numFmtId="0" fontId="134" fillId="70" borderId="0" xfId="0" applyFont="1" applyFill="1"/>
    <xf numFmtId="0" fontId="121" fillId="43" borderId="0" xfId="0" applyFont="1" applyFill="1"/>
    <xf numFmtId="0" fontId="0" fillId="71" borderId="0" xfId="0" applyFill="1"/>
    <xf numFmtId="0" fontId="136" fillId="70" borderId="0" xfId="0" applyFont="1" applyFill="1"/>
    <xf numFmtId="0" fontId="15" fillId="70" borderId="0" xfId="0" applyFont="1" applyFill="1"/>
    <xf numFmtId="0" fontId="121" fillId="70" borderId="0" xfId="0" applyFont="1" applyFill="1"/>
    <xf numFmtId="0" fontId="0" fillId="72" borderId="0" xfId="0" applyFill="1"/>
    <xf numFmtId="0" fontId="15" fillId="71" borderId="0" xfId="0" applyFont="1" applyFill="1"/>
    <xf numFmtId="0" fontId="8" fillId="71" borderId="0" xfId="0" applyFont="1" applyFill="1"/>
    <xf numFmtId="0" fontId="0" fillId="73" borderId="0" xfId="0" applyFill="1"/>
    <xf numFmtId="0" fontId="0" fillId="71" borderId="0" xfId="0" applyFill="1" applyBorder="1"/>
    <xf numFmtId="0" fontId="136" fillId="71" borderId="0" xfId="0" applyFont="1" applyFill="1"/>
    <xf numFmtId="0" fontId="121" fillId="71" borderId="0" xfId="0" applyFont="1" applyFill="1"/>
    <xf numFmtId="172" fontId="8" fillId="71" borderId="0" xfId="0" applyNumberFormat="1" applyFont="1" applyFill="1"/>
    <xf numFmtId="0" fontId="10" fillId="71" borderId="0" xfId="0" applyFont="1" applyFill="1"/>
    <xf numFmtId="0" fontId="0" fillId="71" borderId="0" xfId="0" applyFill="1" applyAlignment="1">
      <alignment horizontal="center" vertical="center"/>
    </xf>
    <xf numFmtId="0" fontId="7" fillId="71" borderId="0" xfId="0" applyFont="1" applyFill="1"/>
    <xf numFmtId="0" fontId="11" fillId="71" borderId="0" xfId="0" applyFont="1" applyFill="1"/>
    <xf numFmtId="0" fontId="0" fillId="71" borderId="0" xfId="0" applyFont="1" applyFill="1" applyBorder="1" applyAlignment="1">
      <alignment horizontal="center" vertical="center"/>
    </xf>
    <xf numFmtId="0" fontId="134" fillId="71" borderId="0" xfId="0" applyFont="1" applyFill="1"/>
    <xf numFmtId="0" fontId="9" fillId="71" borderId="0" xfId="0" applyFont="1" applyFill="1"/>
    <xf numFmtId="0" fontId="22" fillId="71" borderId="0" xfId="0" applyFont="1" applyFill="1"/>
    <xf numFmtId="0" fontId="23" fillId="71" borderId="0" xfId="0" applyFont="1" applyFill="1"/>
    <xf numFmtId="0" fontId="0" fillId="70" borderId="0" xfId="0" applyFill="1" applyAlignment="1">
      <alignment vertical="center"/>
    </xf>
    <xf numFmtId="0" fontId="15" fillId="65" borderId="0" xfId="0" applyFont="1" applyFill="1" applyBorder="1"/>
    <xf numFmtId="0" fontId="0" fillId="71" borderId="0" xfId="0" applyFill="1"/>
    <xf numFmtId="0" fontId="15" fillId="70" borderId="0" xfId="0" applyFont="1" applyFill="1"/>
    <xf numFmtId="0" fontId="15" fillId="71" borderId="0" xfId="0" applyFont="1" applyFill="1"/>
    <xf numFmtId="0" fontId="12" fillId="71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72" fontId="17" fillId="65" borderId="0" xfId="0" applyNumberFormat="1" applyFont="1" applyFill="1" applyBorder="1" applyAlignment="1">
      <alignment horizontal="right" vertical="center" indent="1"/>
    </xf>
    <xf numFmtId="9" fontId="18" fillId="65" borderId="0" xfId="0" applyNumberFormat="1" applyFont="1" applyFill="1" applyBorder="1" applyAlignment="1">
      <alignment horizontal="center" vertical="center"/>
    </xf>
    <xf numFmtId="170" fontId="18" fillId="65" borderId="0" xfId="0" applyNumberFormat="1" applyFont="1" applyFill="1" applyBorder="1" applyAlignment="1">
      <alignment horizontal="center" vertical="center"/>
    </xf>
    <xf numFmtId="0" fontId="124" fillId="71" borderId="0" xfId="0" applyFont="1" applyFill="1" applyBorder="1"/>
    <xf numFmtId="0" fontId="124" fillId="71" borderId="0" xfId="0" applyFont="1" applyFill="1"/>
    <xf numFmtId="0" fontId="124" fillId="0" borderId="0" xfId="0" applyFont="1" applyBorder="1"/>
    <xf numFmtId="0" fontId="124" fillId="0" borderId="0" xfId="0" applyFont="1"/>
    <xf numFmtId="0" fontId="124" fillId="65" borderId="0" xfId="0" applyFont="1" applyFill="1"/>
    <xf numFmtId="0" fontId="124" fillId="69" borderId="0" xfId="0" applyFont="1" applyFill="1"/>
    <xf numFmtId="0" fontId="15" fillId="69" borderId="0" xfId="0" applyFont="1" applyFill="1"/>
    <xf numFmtId="0" fontId="15" fillId="71" borderId="0" xfId="0" applyFont="1" applyFill="1" applyBorder="1"/>
    <xf numFmtId="0" fontId="15" fillId="65" borderId="0" xfId="0" applyFont="1" applyFill="1" applyBorder="1" applyAlignment="1">
      <alignment horizontal="center" vertical="center"/>
    </xf>
    <xf numFmtId="0" fontId="15" fillId="71" borderId="0" xfId="0" applyFont="1" applyFill="1" applyAlignment="1">
      <alignment horizontal="center" vertical="center"/>
    </xf>
    <xf numFmtId="0" fontId="15" fillId="58" borderId="0" xfId="0" applyFont="1" applyFill="1"/>
    <xf numFmtId="0" fontId="15" fillId="70" borderId="0" xfId="0" applyFont="1" applyFill="1" applyAlignment="1">
      <alignment horizontal="center" vertical="center"/>
    </xf>
    <xf numFmtId="0" fontId="15" fillId="71" borderId="0" xfId="0" applyFont="1" applyFill="1" applyAlignment="1">
      <alignment horizontal="center"/>
    </xf>
    <xf numFmtId="0" fontId="15" fillId="71" borderId="0" xfId="0" applyFont="1" applyFill="1" applyBorder="1" applyAlignment="1">
      <alignment horizontal="center" vertical="center"/>
    </xf>
    <xf numFmtId="0" fontId="15" fillId="71" borderId="0" xfId="0" applyFont="1" applyFill="1" applyBorder="1" applyAlignment="1">
      <alignment horizontal="center"/>
    </xf>
    <xf numFmtId="0" fontId="128" fillId="71" borderId="0" xfId="0" applyFont="1" applyFill="1" applyAlignment="1">
      <alignment horizontal="left" vertical="center" wrapText="1"/>
    </xf>
    <xf numFmtId="0" fontId="142" fillId="43" borderId="0" xfId="0" applyFont="1" applyFill="1"/>
    <xf numFmtId="0" fontId="15" fillId="70" borderId="0" xfId="0" applyFont="1" applyFill="1" applyBorder="1"/>
    <xf numFmtId="0" fontId="0" fillId="71" borderId="0" xfId="0" applyFill="1" applyProtection="1">
      <protection locked="0"/>
    </xf>
    <xf numFmtId="0" fontId="0" fillId="0" borderId="0" xfId="0" applyProtection="1">
      <protection locked="0"/>
    </xf>
    <xf numFmtId="0" fontId="15" fillId="70" borderId="0" xfId="0" applyFont="1" applyFill="1" applyBorder="1" applyAlignment="1">
      <alignment horizontal="center" vertical="center"/>
    </xf>
    <xf numFmtId="0" fontId="130" fillId="70" borderId="0" xfId="0" applyFont="1" applyFill="1"/>
    <xf numFmtId="0" fontId="15" fillId="65" borderId="22" xfId="0" applyFont="1" applyFill="1" applyBorder="1" applyAlignment="1">
      <alignment horizontal="left" vertical="center"/>
    </xf>
    <xf numFmtId="0" fontId="0" fillId="70" borderId="0" xfId="0" applyFont="1" applyFill="1" applyAlignment="1">
      <alignment vertical="center"/>
    </xf>
    <xf numFmtId="0" fontId="3" fillId="71" borderId="0" xfId="0" applyFont="1" applyFill="1"/>
    <xf numFmtId="0" fontId="3" fillId="0" borderId="0" xfId="0" applyFont="1"/>
    <xf numFmtId="0" fontId="0" fillId="71" borderId="28" xfId="0" applyFill="1" applyBorder="1"/>
    <xf numFmtId="0" fontId="10" fillId="71" borderId="28" xfId="0" applyFont="1" applyFill="1" applyBorder="1"/>
    <xf numFmtId="0" fontId="8" fillId="71" borderId="28" xfId="0" applyFont="1" applyFill="1" applyBorder="1"/>
    <xf numFmtId="0" fontId="0" fillId="71" borderId="0" xfId="0" applyFill="1"/>
    <xf numFmtId="172" fontId="0" fillId="71" borderId="0" xfId="0" applyNumberFormat="1" applyFill="1"/>
    <xf numFmtId="0" fontId="143" fillId="65" borderId="0" xfId="0" applyFont="1" applyFill="1" applyBorder="1" applyAlignment="1">
      <alignment horizontal="center" vertical="center"/>
    </xf>
    <xf numFmtId="9" fontId="126" fillId="65" borderId="0" xfId="0" applyNumberFormat="1" applyFont="1" applyFill="1" applyBorder="1" applyAlignment="1" applyProtection="1">
      <alignment horizontal="center" vertical="center"/>
      <protection locked="0"/>
    </xf>
    <xf numFmtId="0" fontId="135" fillId="70" borderId="0" xfId="0" applyFont="1" applyFill="1" applyBorder="1"/>
    <xf numFmtId="172" fontId="135" fillId="70" borderId="0" xfId="0" applyNumberFormat="1" applyFont="1" applyFill="1" applyBorder="1"/>
    <xf numFmtId="170" fontId="135" fillId="70" borderId="0" xfId="0" applyNumberFormat="1" applyFont="1" applyFill="1" applyBorder="1" applyAlignment="1">
      <alignment horizontal="center" vertical="center"/>
    </xf>
    <xf numFmtId="1" fontId="135" fillId="70" borderId="0" xfId="0" applyNumberFormat="1" applyFont="1" applyFill="1" applyBorder="1" applyAlignment="1">
      <alignment horizontal="center" vertical="center"/>
    </xf>
    <xf numFmtId="0" fontId="129" fillId="71" borderId="0" xfId="1321" applyFont="1" applyFill="1" applyBorder="1" applyAlignment="1" applyProtection="1">
      <protection locked="0"/>
    </xf>
    <xf numFmtId="0" fontId="104" fillId="71" borderId="0" xfId="1321" applyFont="1" applyFill="1" applyBorder="1" applyAlignment="1" applyProtection="1">
      <protection locked="0"/>
    </xf>
    <xf numFmtId="0" fontId="124" fillId="71" borderId="0" xfId="0" applyFont="1" applyFill="1" applyBorder="1" applyAlignment="1" applyProtection="1">
      <protection locked="0"/>
    </xf>
    <xf numFmtId="0" fontId="122" fillId="71" borderId="0" xfId="0" applyFont="1" applyFill="1" applyBorder="1" applyAlignment="1" applyProtection="1">
      <protection locked="0"/>
    </xf>
    <xf numFmtId="0" fontId="8" fillId="65" borderId="0" xfId="0" applyFont="1" applyFill="1" applyBorder="1" applyAlignment="1" applyProtection="1">
      <alignment horizontal="left" vertical="center" wrapText="1"/>
      <protection locked="0"/>
    </xf>
    <xf numFmtId="0" fontId="8" fillId="65" borderId="0" xfId="0" applyFont="1" applyFill="1" applyBorder="1" applyAlignment="1" applyProtection="1">
      <alignment horizontal="left" vertical="center"/>
      <protection locked="0"/>
    </xf>
    <xf numFmtId="172" fontId="12" fillId="65" borderId="0" xfId="0" applyNumberFormat="1" applyFont="1" applyFill="1" applyBorder="1" applyAlignment="1" applyProtection="1">
      <alignment horizontal="center" vertical="center"/>
      <protection locked="0"/>
    </xf>
    <xf numFmtId="0" fontId="8" fillId="65" borderId="0" xfId="0" applyFont="1" applyFill="1" applyBorder="1" applyAlignment="1" applyProtection="1">
      <alignment horizontal="center" vertical="center"/>
      <protection locked="0"/>
    </xf>
    <xf numFmtId="9" fontId="8" fillId="65" borderId="0" xfId="0" applyNumberFormat="1" applyFont="1" applyFill="1" applyBorder="1" applyAlignment="1" applyProtection="1">
      <alignment horizontal="center" vertical="center"/>
      <protection locked="0"/>
    </xf>
    <xf numFmtId="172" fontId="8" fillId="65" borderId="0" xfId="0" applyNumberFormat="1" applyFont="1" applyFill="1" applyBorder="1" applyAlignment="1" applyProtection="1">
      <alignment horizontal="center" vertical="center"/>
      <protection locked="0"/>
    </xf>
    <xf numFmtId="0" fontId="8" fillId="65" borderId="0" xfId="0" applyFont="1" applyFill="1" applyBorder="1" applyProtection="1">
      <protection locked="0"/>
    </xf>
    <xf numFmtId="172" fontId="135" fillId="65" borderId="0" xfId="0" applyNumberFormat="1" applyFont="1" applyFill="1" applyBorder="1" applyAlignment="1" applyProtection="1">
      <alignment horizontal="center" vertical="center"/>
      <protection locked="0"/>
    </xf>
    <xf numFmtId="172" fontId="149" fillId="70" borderId="0" xfId="1321" applyNumberFormat="1" applyFont="1" applyFill="1" applyBorder="1" applyAlignment="1" applyProtection="1"/>
    <xf numFmtId="0" fontId="15" fillId="7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horizontal="left" vertical="center"/>
    </xf>
    <xf numFmtId="0" fontId="0" fillId="70" borderId="0" xfId="0" applyFill="1" applyBorder="1" applyAlignment="1">
      <alignment vertical="center"/>
    </xf>
    <xf numFmtId="0" fontId="157" fillId="65" borderId="0" xfId="0" applyFont="1" applyFill="1" applyBorder="1"/>
    <xf numFmtId="9" fontId="159" fillId="65" borderId="0" xfId="0" applyNumberFormat="1" applyFont="1" applyFill="1" applyBorder="1" applyAlignment="1">
      <alignment vertical="center" wrapText="1"/>
    </xf>
    <xf numFmtId="171" fontId="161" fillId="66" borderId="20" xfId="1330" applyNumberFormat="1" applyFont="1" applyFill="1" applyBorder="1" applyAlignment="1">
      <alignment horizontal="center" vertical="center" wrapText="1"/>
    </xf>
    <xf numFmtId="0" fontId="161" fillId="66" borderId="20" xfId="0" applyFont="1" applyFill="1" applyBorder="1" applyAlignment="1">
      <alignment horizontal="center" vertical="center" wrapText="1"/>
    </xf>
    <xf numFmtId="0" fontId="157" fillId="70" borderId="0" xfId="0" applyFont="1" applyFill="1"/>
    <xf numFmtId="0" fontId="177" fillId="70" borderId="0" xfId="1321" applyFont="1" applyFill="1" applyAlignment="1" applyProtection="1">
      <alignment horizontal="left" vertical="center"/>
    </xf>
    <xf numFmtId="0" fontId="157" fillId="65" borderId="0" xfId="0" applyFont="1" applyFill="1" applyAlignment="1" applyProtection="1">
      <alignment horizontal="center"/>
      <protection hidden="1"/>
    </xf>
    <xf numFmtId="0" fontId="157" fillId="70" borderId="0" xfId="0" applyFont="1" applyFill="1" applyAlignment="1" applyProtection="1">
      <alignment horizontal="center"/>
      <protection hidden="1"/>
    </xf>
    <xf numFmtId="0" fontId="175" fillId="78" borderId="27" xfId="0" applyFont="1" applyFill="1" applyBorder="1" applyAlignment="1">
      <alignment horizontal="center" vertical="center" wrapText="1"/>
    </xf>
    <xf numFmtId="0" fontId="177" fillId="71" borderId="0" xfId="1321" applyFont="1" applyFill="1" applyAlignment="1" applyProtection="1">
      <alignment horizontal="left" vertical="center"/>
    </xf>
    <xf numFmtId="0" fontId="157" fillId="71" borderId="0" xfId="0" applyFont="1" applyFill="1"/>
    <xf numFmtId="0" fontId="157" fillId="71" borderId="0" xfId="0" applyFont="1" applyFill="1" applyBorder="1" applyAlignment="1" applyProtection="1">
      <alignment horizontal="center"/>
      <protection hidden="1"/>
    </xf>
    <xf numFmtId="0" fontId="157" fillId="71" borderId="0" xfId="0" applyFont="1" applyFill="1" applyAlignment="1" applyProtection="1">
      <alignment horizontal="center"/>
      <protection hidden="1"/>
    </xf>
    <xf numFmtId="0" fontId="178" fillId="71" borderId="0" xfId="0" applyFont="1" applyFill="1"/>
    <xf numFmtId="9" fontId="154" fillId="71" borderId="23" xfId="0" applyNumberFormat="1" applyFont="1" applyFill="1" applyBorder="1" applyAlignment="1" applyProtection="1">
      <alignment horizontal="center" vertical="center"/>
      <protection locked="0" hidden="1"/>
    </xf>
    <xf numFmtId="0" fontId="180" fillId="71" borderId="0" xfId="0" applyFont="1" applyFill="1" applyBorder="1" applyAlignment="1"/>
    <xf numFmtId="0" fontId="153" fillId="71" borderId="0" xfId="0" applyFont="1" applyFill="1" applyBorder="1" applyAlignment="1">
      <alignment horizontal="left" vertical="center"/>
    </xf>
    <xf numFmtId="169" fontId="155" fillId="71" borderId="23" xfId="0" applyNumberFormat="1" applyFont="1" applyFill="1" applyBorder="1" applyAlignment="1">
      <alignment horizontal="center" vertical="center"/>
    </xf>
    <xf numFmtId="0" fontId="164" fillId="0" borderId="29" xfId="0" applyFont="1" applyFill="1" applyBorder="1" applyAlignment="1">
      <alignment horizontal="left" vertical="center" indent="1"/>
    </xf>
    <xf numFmtId="0" fontId="0" fillId="71" borderId="30" xfId="0" applyFill="1" applyBorder="1"/>
    <xf numFmtId="171" fontId="161" fillId="66" borderId="29" xfId="1330" applyNumberFormat="1" applyFont="1" applyFill="1" applyBorder="1" applyAlignment="1">
      <alignment horizontal="center" vertical="center" wrapText="1"/>
    </xf>
    <xf numFmtId="0" fontId="161" fillId="66" borderId="29" xfId="0" applyFont="1" applyFill="1" applyBorder="1" applyAlignment="1">
      <alignment horizontal="center" vertical="center" wrapText="1"/>
    </xf>
    <xf numFmtId="0" fontId="155" fillId="71" borderId="29" xfId="0" applyFont="1" applyFill="1" applyBorder="1" applyAlignment="1" applyProtection="1">
      <alignment horizontal="center" vertical="center"/>
      <protection locked="0"/>
    </xf>
    <xf numFmtId="9" fontId="165" fillId="0" borderId="29" xfId="0" applyNumberFormat="1" applyFont="1" applyFill="1" applyBorder="1" applyAlignment="1">
      <alignment horizontal="center" vertical="center"/>
    </xf>
    <xf numFmtId="0" fontId="183" fillId="0" borderId="29" xfId="0" applyFont="1" applyBorder="1" applyAlignment="1">
      <alignment horizontal="center" vertical="center"/>
    </xf>
    <xf numFmtId="170" fontId="165" fillId="0" borderId="29" xfId="0" applyNumberFormat="1" applyFont="1" applyFill="1" applyBorder="1" applyAlignment="1">
      <alignment horizontal="center" vertical="center"/>
    </xf>
    <xf numFmtId="0" fontId="164" fillId="0" borderId="29" xfId="0" applyFont="1" applyBorder="1" applyAlignment="1">
      <alignment horizontal="left" vertical="center" indent="1"/>
    </xf>
    <xf numFmtId="172" fontId="159" fillId="70" borderId="29" xfId="0" applyNumberFormat="1" applyFont="1" applyFill="1" applyBorder="1" applyAlignment="1">
      <alignment horizontal="right" vertical="center" indent="1"/>
    </xf>
    <xf numFmtId="9" fontId="165" fillId="0" borderId="29" xfId="0" applyNumberFormat="1" applyFont="1" applyBorder="1" applyAlignment="1">
      <alignment horizontal="center" vertical="center"/>
    </xf>
    <xf numFmtId="172" fontId="164" fillId="70" borderId="29" xfId="0" applyNumberFormat="1" applyFont="1" applyFill="1" applyBorder="1" applyAlignment="1">
      <alignment horizontal="right" vertical="center" indent="1"/>
    </xf>
    <xf numFmtId="0" fontId="183" fillId="65" borderId="29" xfId="0" applyFont="1" applyFill="1" applyBorder="1" applyAlignment="1">
      <alignment horizontal="center" vertical="center"/>
    </xf>
    <xf numFmtId="0" fontId="159" fillId="0" borderId="29" xfId="0" applyFont="1" applyFill="1" applyBorder="1" applyAlignment="1">
      <alignment horizontal="left" vertical="center" indent="1"/>
    </xf>
    <xf numFmtId="171" fontId="161" fillId="66" borderId="0" xfId="1330" applyNumberFormat="1" applyFont="1" applyFill="1" applyBorder="1" applyAlignment="1">
      <alignment horizontal="center" vertical="center" wrapText="1"/>
    </xf>
    <xf numFmtId="0" fontId="161" fillId="66" borderId="0" xfId="0" applyFont="1" applyFill="1" applyBorder="1" applyAlignment="1">
      <alignment horizontal="center" vertical="center" wrapText="1"/>
    </xf>
    <xf numFmtId="0" fontId="164" fillId="65" borderId="29" xfId="0" applyFont="1" applyFill="1" applyBorder="1" applyAlignment="1">
      <alignment horizontal="left" vertical="center" indent="1"/>
    </xf>
    <xf numFmtId="0" fontId="165" fillId="65" borderId="29" xfId="0" applyFont="1" applyFill="1" applyBorder="1" applyAlignment="1">
      <alignment horizontal="center" vertical="center"/>
    </xf>
    <xf numFmtId="0" fontId="164" fillId="65" borderId="29" xfId="1469" applyNumberFormat="1" applyFont="1" applyFill="1" applyBorder="1" applyAlignment="1">
      <alignment horizontal="center" vertical="center" wrapText="1"/>
    </xf>
    <xf numFmtId="0" fontId="155" fillId="65" borderId="29" xfId="0" applyFont="1" applyFill="1" applyBorder="1" applyAlignment="1">
      <alignment horizontal="center" vertical="center"/>
    </xf>
    <xf numFmtId="9" fontId="165" fillId="65" borderId="29" xfId="0" applyNumberFormat="1" applyFont="1" applyFill="1" applyBorder="1" applyAlignment="1">
      <alignment horizontal="center" vertical="center"/>
    </xf>
    <xf numFmtId="1" fontId="164" fillId="65" borderId="29" xfId="0" applyNumberFormat="1" applyFont="1" applyFill="1" applyBorder="1" applyAlignment="1">
      <alignment horizontal="center" vertical="center"/>
    </xf>
    <xf numFmtId="1" fontId="164" fillId="0" borderId="29" xfId="0" applyNumberFormat="1" applyFont="1" applyFill="1" applyBorder="1" applyAlignment="1">
      <alignment horizontal="center" vertical="center"/>
    </xf>
    <xf numFmtId="170" fontId="165" fillId="65" borderId="29" xfId="0" applyNumberFormat="1" applyFont="1" applyFill="1" applyBorder="1" applyAlignment="1">
      <alignment horizontal="center" vertical="center"/>
    </xf>
    <xf numFmtId="0" fontId="159" fillId="65" borderId="29" xfId="0" applyFont="1" applyFill="1" applyBorder="1" applyAlignment="1">
      <alignment horizontal="left" vertical="center" wrapText="1" indent="1"/>
    </xf>
    <xf numFmtId="0" fontId="163" fillId="71" borderId="29" xfId="0" applyFont="1" applyFill="1" applyBorder="1" applyAlignment="1" applyProtection="1">
      <alignment horizontal="center" vertical="center"/>
      <protection locked="0"/>
    </xf>
    <xf numFmtId="0" fontId="157" fillId="0" borderId="29" xfId="0" applyFont="1" applyBorder="1"/>
    <xf numFmtId="0" fontId="159" fillId="70" borderId="0" xfId="0" applyFont="1" applyFill="1" applyBorder="1" applyAlignment="1">
      <alignment horizontal="left" vertical="center" wrapText="1" indent="1"/>
    </xf>
    <xf numFmtId="172" fontId="17" fillId="70" borderId="0" xfId="0" applyNumberFormat="1" applyFont="1" applyFill="1" applyBorder="1" applyAlignment="1">
      <alignment horizontal="right" vertical="center" indent="1"/>
    </xf>
    <xf numFmtId="0" fontId="45" fillId="70" borderId="0" xfId="0" applyFont="1" applyFill="1" applyBorder="1" applyAlignment="1">
      <alignment horizontal="center" vertical="center"/>
    </xf>
    <xf numFmtId="9" fontId="18" fillId="70" borderId="0" xfId="0" applyNumberFormat="1" applyFont="1" applyFill="1" applyBorder="1" applyAlignment="1">
      <alignment horizontal="center" vertical="center"/>
    </xf>
    <xf numFmtId="172" fontId="44" fillId="70" borderId="0" xfId="0" applyNumberFormat="1" applyFont="1" applyFill="1" applyBorder="1" applyAlignment="1">
      <alignment horizontal="right" vertical="center" indent="1"/>
    </xf>
    <xf numFmtId="1" fontId="44" fillId="70" borderId="0" xfId="0" applyNumberFormat="1" applyFont="1" applyFill="1" applyBorder="1" applyAlignment="1">
      <alignment horizontal="center" vertical="center"/>
    </xf>
    <xf numFmtId="170" fontId="18" fillId="70" borderId="0" xfId="0" applyNumberFormat="1" applyFont="1" applyFill="1" applyBorder="1" applyAlignment="1">
      <alignment horizontal="center" vertical="center"/>
    </xf>
    <xf numFmtId="9" fontId="154" fillId="71" borderId="24" xfId="0" applyNumberFormat="1" applyFont="1" applyFill="1" applyBorder="1" applyAlignment="1" applyProtection="1">
      <alignment horizontal="center" vertical="center"/>
      <protection locked="0" hidden="1"/>
    </xf>
    <xf numFmtId="0" fontId="163" fillId="71" borderId="29" xfId="0" applyFont="1" applyFill="1" applyBorder="1" applyAlignment="1" applyProtection="1">
      <alignment vertical="center"/>
      <protection locked="0"/>
    </xf>
    <xf numFmtId="0" fontId="162" fillId="71" borderId="29" xfId="0" applyFont="1" applyFill="1" applyBorder="1" applyAlignment="1">
      <alignment horizontal="left" vertical="center" indent="1"/>
    </xf>
    <xf numFmtId="0" fontId="160" fillId="71" borderId="29" xfId="0" applyFont="1" applyFill="1" applyBorder="1" applyAlignment="1">
      <alignment horizontal="center" vertical="center" wrapText="1"/>
    </xf>
    <xf numFmtId="0" fontId="161" fillId="78" borderId="29" xfId="0" applyFont="1" applyFill="1" applyBorder="1" applyAlignment="1">
      <alignment horizontal="center" vertical="center" wrapText="1"/>
    </xf>
    <xf numFmtId="170" fontId="157" fillId="0" borderId="29" xfId="0" applyNumberFormat="1" applyFont="1" applyBorder="1" applyAlignment="1">
      <alignment horizontal="center" vertical="center"/>
    </xf>
    <xf numFmtId="203" fontId="183" fillId="0" borderId="29" xfId="0" applyNumberFormat="1" applyFont="1" applyFill="1" applyBorder="1" applyAlignment="1">
      <alignment horizontal="center" vertical="center"/>
    </xf>
    <xf numFmtId="170" fontId="183" fillId="0" borderId="29" xfId="0" applyNumberFormat="1" applyFont="1" applyFill="1" applyBorder="1" applyAlignment="1">
      <alignment horizontal="center" vertical="center"/>
    </xf>
    <xf numFmtId="0" fontId="157" fillId="65" borderId="25" xfId="0" applyFont="1" applyFill="1" applyBorder="1"/>
    <xf numFmtId="0" fontId="157" fillId="65" borderId="0" xfId="0" applyFont="1" applyFill="1" applyBorder="1" applyAlignment="1">
      <alignment horizontal="left" vertical="center" wrapText="1"/>
    </xf>
    <xf numFmtId="172" fontId="159" fillId="65" borderId="0" xfId="0" applyNumberFormat="1" applyFont="1" applyFill="1" applyBorder="1" applyAlignment="1">
      <alignment horizontal="center" vertical="center"/>
    </xf>
    <xf numFmtId="172" fontId="164" fillId="65" borderId="0" xfId="0" applyNumberFormat="1" applyFont="1" applyFill="1" applyBorder="1" applyAlignment="1">
      <alignment horizontal="right" vertical="center" indent="1"/>
    </xf>
    <xf numFmtId="0" fontId="163" fillId="65" borderId="0" xfId="0" applyFont="1" applyFill="1" applyBorder="1" applyAlignment="1">
      <alignment horizontal="center" vertical="center"/>
    </xf>
    <xf numFmtId="9" fontId="165" fillId="65" borderId="0" xfId="0" applyNumberFormat="1" applyFont="1" applyFill="1" applyBorder="1" applyAlignment="1">
      <alignment horizontal="center" vertical="center"/>
    </xf>
    <xf numFmtId="170" fontId="165" fillId="65" borderId="0" xfId="0" applyNumberFormat="1" applyFont="1" applyFill="1" applyBorder="1" applyAlignment="1">
      <alignment horizontal="center" vertical="center"/>
    </xf>
    <xf numFmtId="0" fontId="157" fillId="65" borderId="29" xfId="0" applyFont="1" applyFill="1" applyBorder="1"/>
    <xf numFmtId="1" fontId="157" fillId="65" borderId="29" xfId="0" applyNumberFormat="1" applyFont="1" applyFill="1" applyBorder="1"/>
    <xf numFmtId="0" fontId="15" fillId="65" borderId="0" xfId="0" applyFont="1" applyFill="1" applyBorder="1" applyAlignment="1">
      <alignment horizontal="center" vertical="center" wrapText="1"/>
    </xf>
    <xf numFmtId="172" fontId="44" fillId="65" borderId="0" xfId="0" applyNumberFormat="1" applyFont="1" applyFill="1" applyBorder="1" applyAlignment="1">
      <alignment horizontal="right" vertical="center" indent="1"/>
    </xf>
    <xf numFmtId="1" fontId="44" fillId="65" borderId="0" xfId="0" applyNumberFormat="1" applyFont="1" applyFill="1" applyBorder="1" applyAlignment="1">
      <alignment horizontal="center" vertical="center"/>
    </xf>
    <xf numFmtId="172" fontId="135" fillId="70" borderId="0" xfId="0" applyNumberFormat="1" applyFont="1" applyFill="1" applyBorder="1" applyAlignment="1">
      <alignment horizontal="center" vertical="center"/>
    </xf>
    <xf numFmtId="1" fontId="181" fillId="65" borderId="22" xfId="0" applyNumberFormat="1" applyFont="1" applyFill="1" applyBorder="1" applyAlignment="1">
      <alignment horizontal="center"/>
    </xf>
    <xf numFmtId="172" fontId="159" fillId="65" borderId="0" xfId="0" applyNumberFormat="1" applyFont="1" applyFill="1" applyBorder="1" applyAlignment="1">
      <alignment horizontal="left"/>
    </xf>
    <xf numFmtId="0" fontId="159" fillId="65" borderId="0" xfId="0" applyFont="1" applyFill="1" applyBorder="1" applyAlignment="1">
      <alignment horizontal="center"/>
    </xf>
    <xf numFmtId="172" fontId="157" fillId="65" borderId="0" xfId="0" applyNumberFormat="1" applyFont="1" applyFill="1" applyBorder="1"/>
    <xf numFmtId="0" fontId="159" fillId="71" borderId="29" xfId="0" applyFont="1" applyFill="1" applyBorder="1" applyAlignment="1">
      <alignment horizontal="center" vertical="center"/>
    </xf>
    <xf numFmtId="0" fontId="137" fillId="70" borderId="0" xfId="0" applyFont="1" applyFill="1" applyBorder="1" applyAlignment="1">
      <alignment horizontal="center" vertical="center"/>
    </xf>
    <xf numFmtId="0" fontId="137" fillId="70" borderId="0" xfId="0" applyFont="1" applyFill="1" applyBorder="1" applyAlignment="1">
      <alignment horizontal="center" vertical="center" wrapText="1"/>
    </xf>
    <xf numFmtId="0" fontId="139" fillId="70" borderId="0" xfId="0" applyFont="1" applyFill="1" applyBorder="1" applyAlignment="1">
      <alignment horizontal="center" vertical="center" wrapText="1"/>
    </xf>
    <xf numFmtId="1" fontId="146" fillId="70" borderId="0" xfId="0" applyNumberFormat="1" applyFont="1" applyFill="1" applyBorder="1" applyAlignment="1">
      <alignment horizontal="center" vertical="center" wrapText="1"/>
    </xf>
    <xf numFmtId="0" fontId="139" fillId="70" borderId="0" xfId="0" applyFont="1" applyFill="1" applyBorder="1" applyAlignment="1">
      <alignment vertical="center" wrapText="1"/>
    </xf>
    <xf numFmtId="0" fontId="46" fillId="77" borderId="26" xfId="0" applyFont="1" applyFill="1" applyBorder="1" applyAlignment="1">
      <alignment vertical="center"/>
    </xf>
    <xf numFmtId="0" fontId="46" fillId="77" borderId="20" xfId="0" applyFont="1" applyFill="1" applyBorder="1" applyAlignment="1">
      <alignment vertical="center"/>
    </xf>
    <xf numFmtId="9" fontId="16" fillId="77" borderId="20" xfId="0" applyNumberFormat="1" applyFont="1" applyFill="1" applyBorder="1" applyAlignment="1">
      <alignment vertical="center" wrapText="1"/>
    </xf>
    <xf numFmtId="0" fontId="46" fillId="77" borderId="0" xfId="0" applyFont="1" applyFill="1" applyBorder="1" applyAlignment="1">
      <alignment vertical="center"/>
    </xf>
    <xf numFmtId="9" fontId="16" fillId="77" borderId="0" xfId="0" applyNumberFormat="1" applyFont="1" applyFill="1" applyBorder="1" applyAlignment="1">
      <alignment vertical="center" wrapText="1"/>
    </xf>
    <xf numFmtId="0" fontId="144" fillId="77" borderId="0" xfId="0" applyFont="1" applyFill="1" applyBorder="1" applyAlignment="1">
      <alignment vertical="top"/>
    </xf>
    <xf numFmtId="0" fontId="137" fillId="77" borderId="0" xfId="0" applyFont="1" applyFill="1" applyBorder="1" applyAlignment="1"/>
    <xf numFmtId="0" fontId="134" fillId="77" borderId="0" xfId="0" applyFont="1" applyFill="1" applyBorder="1"/>
    <xf numFmtId="0" fontId="138" fillId="77" borderId="0" xfId="0" applyFont="1" applyFill="1" applyBorder="1" applyAlignment="1">
      <alignment horizontal="right"/>
    </xf>
    <xf numFmtId="0" fontId="141" fillId="77" borderId="0" xfId="0" applyFont="1" applyFill="1" applyBorder="1" applyAlignment="1">
      <alignment horizontal="left" vertical="center"/>
    </xf>
    <xf numFmtId="0" fontId="140" fillId="77" borderId="0" xfId="0" applyFont="1" applyFill="1" applyBorder="1" applyAlignment="1">
      <alignment horizontal="left" vertical="center"/>
    </xf>
    <xf numFmtId="172" fontId="46" fillId="77" borderId="0" xfId="0" applyNumberFormat="1" applyFont="1" applyFill="1" applyBorder="1" applyAlignment="1">
      <alignment vertical="center"/>
    </xf>
    <xf numFmtId="0" fontId="150" fillId="77" borderId="0" xfId="0" applyFont="1" applyFill="1" applyBorder="1" applyAlignment="1">
      <alignment horizontal="right" vertical="center"/>
    </xf>
    <xf numFmtId="0" fontId="151" fillId="77" borderId="0" xfId="0" applyFont="1" applyFill="1" applyBorder="1"/>
    <xf numFmtId="0" fontId="138" fillId="77" borderId="21" xfId="0" applyFont="1" applyFill="1" applyBorder="1" applyAlignment="1">
      <alignment horizontal="right"/>
    </xf>
    <xf numFmtId="0" fontId="145" fillId="77" borderId="0" xfId="0" applyFont="1" applyFill="1" applyBorder="1" applyAlignment="1"/>
    <xf numFmtId="0" fontId="145" fillId="77" borderId="0" xfId="0" applyFont="1" applyFill="1" applyBorder="1" applyAlignment="1">
      <alignment horizontal="right" vertical="center"/>
    </xf>
    <xf numFmtId="171" fontId="157" fillId="66" borderId="0" xfId="1330" applyNumberFormat="1" applyFont="1" applyFill="1" applyBorder="1" applyAlignment="1">
      <alignment horizontal="center" vertical="center" wrapText="1"/>
    </xf>
    <xf numFmtId="0" fontId="163" fillId="0" borderId="29" xfId="0" applyFont="1" applyFill="1" applyBorder="1" applyAlignment="1">
      <alignment horizontal="left" vertical="center" indent="1"/>
    </xf>
    <xf numFmtId="169" fontId="164" fillId="0" borderId="29" xfId="0" applyNumberFormat="1" applyFont="1" applyFill="1" applyBorder="1" applyAlignment="1">
      <alignment horizontal="center" vertical="center" wrapText="1"/>
    </xf>
    <xf numFmtId="0" fontId="164" fillId="0" borderId="29" xfId="0" applyFont="1" applyBorder="1" applyAlignment="1">
      <alignment horizontal="center" vertical="center" wrapText="1"/>
    </xf>
    <xf numFmtId="172" fontId="159" fillId="71" borderId="29" xfId="0" applyNumberFormat="1" applyFont="1" applyFill="1" applyBorder="1" applyAlignment="1">
      <alignment horizontal="center" vertical="center"/>
    </xf>
    <xf numFmtId="204" fontId="164" fillId="75" borderId="29" xfId="0" applyNumberFormat="1" applyFont="1" applyFill="1" applyBorder="1" applyAlignment="1">
      <alignment horizontal="right" vertical="center" indent="1"/>
    </xf>
    <xf numFmtId="0" fontId="164" fillId="71" borderId="29" xfId="0" applyFont="1" applyFill="1" applyBorder="1" applyAlignment="1" applyProtection="1">
      <alignment horizontal="center" vertical="center"/>
      <protection locked="0"/>
    </xf>
    <xf numFmtId="1" fontId="157" fillId="70" borderId="29" xfId="0" applyNumberFormat="1" applyFont="1" applyFill="1" applyBorder="1" applyAlignment="1">
      <alignment horizontal="center" vertical="center"/>
    </xf>
    <xf numFmtId="169" fontId="168" fillId="0" borderId="29" xfId="0" applyNumberFormat="1" applyFont="1" applyFill="1" applyBorder="1" applyAlignment="1">
      <alignment horizontal="center" vertical="center" wrapText="1"/>
    </xf>
    <xf numFmtId="172" fontId="158" fillId="71" borderId="29" xfId="0" applyNumberFormat="1" applyFont="1" applyFill="1" applyBorder="1" applyAlignment="1">
      <alignment horizontal="center" vertical="center"/>
    </xf>
    <xf numFmtId="172" fontId="169" fillId="78" borderId="29" xfId="0" applyNumberFormat="1" applyFont="1" applyFill="1" applyBorder="1" applyAlignment="1">
      <alignment horizontal="right" vertical="center" indent="1"/>
    </xf>
    <xf numFmtId="0" fontId="168" fillId="0" borderId="29" xfId="0" applyFont="1" applyFill="1" applyBorder="1" applyAlignment="1">
      <alignment horizontal="center" vertical="center" wrapText="1"/>
    </xf>
    <xf numFmtId="169" fontId="168" fillId="0" borderId="29" xfId="0" applyNumberFormat="1" applyFont="1" applyBorder="1" applyAlignment="1">
      <alignment horizontal="center" vertical="center" wrapText="1"/>
    </xf>
    <xf numFmtId="1" fontId="157" fillId="65" borderId="29" xfId="0" applyNumberFormat="1" applyFont="1" applyFill="1" applyBorder="1" applyAlignment="1">
      <alignment horizontal="center" vertical="center"/>
    </xf>
    <xf numFmtId="172" fontId="159" fillId="0" borderId="29" xfId="0" applyNumberFormat="1" applyFont="1" applyFill="1" applyBorder="1" applyAlignment="1">
      <alignment horizontal="center" vertical="center"/>
    </xf>
    <xf numFmtId="170" fontId="172" fillId="0" borderId="29" xfId="0" applyNumberFormat="1" applyFont="1" applyBorder="1" applyAlignment="1">
      <alignment horizontal="center" vertical="center"/>
    </xf>
    <xf numFmtId="172" fontId="161" fillId="70" borderId="29" xfId="0" applyNumberFormat="1" applyFont="1" applyFill="1" applyBorder="1" applyAlignment="1">
      <alignment horizontal="center" vertical="center"/>
    </xf>
    <xf numFmtId="0" fontId="174" fillId="70" borderId="0" xfId="0" applyFont="1" applyFill="1" applyBorder="1" applyAlignment="1">
      <alignment horizontal="right" vertical="center"/>
    </xf>
    <xf numFmtId="0" fontId="194" fillId="0" borderId="29" xfId="0" applyFont="1" applyBorder="1"/>
    <xf numFmtId="169" fontId="164" fillId="0" borderId="29" xfId="0" applyNumberFormat="1" applyFont="1" applyBorder="1" applyAlignment="1">
      <alignment horizontal="center" vertical="center" wrapText="1"/>
    </xf>
    <xf numFmtId="2" fontId="164" fillId="0" borderId="29" xfId="0" applyNumberFormat="1" applyFont="1" applyBorder="1" applyAlignment="1">
      <alignment horizontal="center" vertical="center" wrapText="1"/>
    </xf>
    <xf numFmtId="0" fontId="194" fillId="0" borderId="29" xfId="0" applyFont="1" applyFill="1" applyBorder="1"/>
    <xf numFmtId="2" fontId="164" fillId="0" borderId="29" xfId="0" applyNumberFormat="1" applyFont="1" applyFill="1" applyBorder="1" applyAlignment="1">
      <alignment horizontal="center" vertical="center" wrapText="1"/>
    </xf>
    <xf numFmtId="0" fontId="159" fillId="71" borderId="29" xfId="0" applyFont="1" applyFill="1" applyBorder="1" applyAlignment="1">
      <alignment horizontal="left" vertical="center" wrapText="1" indent="1"/>
    </xf>
    <xf numFmtId="172" fontId="158" fillId="70" borderId="0" xfId="0" applyNumberFormat="1" applyFont="1" applyFill="1" applyBorder="1" applyAlignment="1">
      <alignment horizontal="center"/>
    </xf>
    <xf numFmtId="0" fontId="196" fillId="70" borderId="0" xfId="0" applyFont="1" applyFill="1" applyBorder="1"/>
    <xf numFmtId="0" fontId="158" fillId="70" borderId="0" xfId="0" applyFont="1" applyFill="1" applyBorder="1" applyAlignment="1">
      <alignment horizontal="center"/>
    </xf>
    <xf numFmtId="0" fontId="193" fillId="70" borderId="0" xfId="0" applyFont="1" applyFill="1" applyBorder="1" applyAlignment="1">
      <alignment horizontal="center"/>
    </xf>
    <xf numFmtId="172" fontId="173" fillId="70" borderId="0" xfId="0" applyNumberFormat="1" applyFont="1" applyFill="1" applyBorder="1"/>
    <xf numFmtId="0" fontId="157" fillId="70" borderId="0" xfId="0" applyFont="1" applyFill="1" applyBorder="1"/>
    <xf numFmtId="0" fontId="173" fillId="70" borderId="0" xfId="0" applyFont="1" applyFill="1" applyBorder="1"/>
    <xf numFmtId="0" fontId="197" fillId="70" borderId="0" xfId="0" applyFont="1" applyFill="1" applyBorder="1"/>
    <xf numFmtId="0" fontId="157" fillId="0" borderId="29" xfId="0" applyFont="1" applyBorder="1" applyAlignment="1">
      <alignment horizontal="center" wrapText="1"/>
    </xf>
    <xf numFmtId="171" fontId="199" fillId="66" borderId="0" xfId="1330" applyNumberFormat="1" applyFont="1" applyFill="1" applyBorder="1" applyAlignment="1">
      <alignment horizontal="center" vertical="center" wrapText="1"/>
    </xf>
    <xf numFmtId="0" fontId="199" fillId="66" borderId="0" xfId="0" applyFont="1" applyFill="1" applyBorder="1" applyAlignment="1">
      <alignment horizontal="center" vertical="center" wrapText="1"/>
    </xf>
    <xf numFmtId="0" fontId="200" fillId="0" borderId="29" xfId="0" applyFont="1" applyBorder="1"/>
    <xf numFmtId="172" fontId="193" fillId="0" borderId="29" xfId="0" applyNumberFormat="1" applyFont="1" applyFill="1" applyBorder="1" applyAlignment="1">
      <alignment horizontal="center" vertical="center"/>
    </xf>
    <xf numFmtId="0" fontId="201" fillId="71" borderId="29" xfId="0" applyFont="1" applyFill="1" applyBorder="1" applyAlignment="1" applyProtection="1">
      <alignment horizontal="center" vertical="center"/>
      <protection locked="0"/>
    </xf>
    <xf numFmtId="0" fontId="202" fillId="0" borderId="29" xfId="0" applyFont="1" applyFill="1" applyBorder="1"/>
    <xf numFmtId="0" fontId="183" fillId="0" borderId="29" xfId="0" applyFont="1" applyBorder="1" applyAlignment="1">
      <alignment horizontal="center" vertical="center" wrapText="1"/>
    </xf>
    <xf numFmtId="169" fontId="159" fillId="0" borderId="29" xfId="0" applyNumberFormat="1" applyFont="1" applyFill="1" applyBorder="1" applyAlignment="1">
      <alignment horizontal="center" vertical="center" wrapText="1"/>
    </xf>
    <xf numFmtId="172" fontId="163" fillId="71" borderId="29" xfId="0" applyNumberFormat="1" applyFont="1" applyFill="1" applyBorder="1" applyAlignment="1" applyProtection="1">
      <alignment horizontal="center" vertical="center"/>
      <protection locked="0"/>
    </xf>
    <xf numFmtId="0" fontId="183" fillId="0" borderId="29" xfId="0" applyFont="1" applyFill="1" applyBorder="1" applyAlignment="1">
      <alignment horizontal="center" vertical="center" wrapText="1"/>
    </xf>
    <xf numFmtId="0" fontId="162" fillId="66" borderId="0" xfId="0" applyFont="1" applyFill="1" applyBorder="1" applyAlignment="1">
      <alignment vertical="center"/>
    </xf>
    <xf numFmtId="0" fontId="200" fillId="0" borderId="29" xfId="0" applyFont="1" applyFill="1" applyBorder="1"/>
    <xf numFmtId="172" fontId="164" fillId="71" borderId="29" xfId="0" applyNumberFormat="1" applyFont="1" applyFill="1" applyBorder="1" applyAlignment="1" applyProtection="1">
      <alignment horizontal="center" vertical="center"/>
      <protection locked="0"/>
    </xf>
    <xf numFmtId="1" fontId="203" fillId="0" borderId="29" xfId="1653" applyNumberFormat="1" applyFont="1" applyFill="1" applyBorder="1" applyAlignment="1">
      <alignment horizontal="center" vertical="center" wrapText="1"/>
    </xf>
    <xf numFmtId="0" fontId="204" fillId="0" borderId="29" xfId="0" applyFont="1" applyBorder="1" applyAlignment="1">
      <alignment horizontal="center" vertical="center"/>
    </xf>
    <xf numFmtId="1" fontId="183" fillId="0" borderId="29" xfId="1385" applyNumberFormat="1" applyFont="1" applyFill="1" applyBorder="1" applyAlignment="1">
      <alignment horizontal="center" vertical="center" wrapText="1"/>
    </xf>
    <xf numFmtId="0" fontId="174" fillId="66" borderId="0" xfId="0" applyFont="1" applyFill="1" applyBorder="1" applyAlignment="1">
      <alignment vertical="center"/>
    </xf>
    <xf numFmtId="171" fontId="174" fillId="66" borderId="0" xfId="1330" applyNumberFormat="1" applyFont="1" applyFill="1" applyBorder="1" applyAlignment="1">
      <alignment horizontal="center" vertical="center" wrapText="1"/>
    </xf>
    <xf numFmtId="0" fontId="174" fillId="66" borderId="0" xfId="0" applyFont="1" applyFill="1" applyBorder="1" applyAlignment="1">
      <alignment horizontal="center" vertical="center" wrapText="1"/>
    </xf>
    <xf numFmtId="0" fontId="205" fillId="65" borderId="0" xfId="0" applyFont="1" applyFill="1" applyBorder="1" applyAlignment="1">
      <alignment horizontal="center" vertical="center"/>
    </xf>
    <xf numFmtId="0" fontId="199" fillId="65" borderId="0" xfId="0" applyFont="1" applyFill="1" applyBorder="1" applyAlignment="1">
      <alignment horizontal="center" vertical="center"/>
    </xf>
    <xf numFmtId="0" fontId="159" fillId="71" borderId="29" xfId="0" applyFont="1" applyFill="1" applyBorder="1" applyAlignment="1">
      <alignment vertical="center" wrapText="1"/>
    </xf>
    <xf numFmtId="0" fontId="175" fillId="66" borderId="0" xfId="0" applyFont="1" applyFill="1" applyBorder="1" applyAlignment="1">
      <alignment vertical="center"/>
    </xf>
    <xf numFmtId="172" fontId="159" fillId="70" borderId="0" xfId="0" applyNumberFormat="1" applyFont="1" applyFill="1" applyBorder="1" applyAlignment="1">
      <alignment horizontal="left"/>
    </xf>
    <xf numFmtId="0" fontId="159" fillId="70" borderId="0" xfId="0" applyFont="1" applyFill="1" applyBorder="1" applyAlignment="1">
      <alignment horizontal="center"/>
    </xf>
    <xf numFmtId="172" fontId="157" fillId="70" borderId="0" xfId="0" applyNumberFormat="1" applyFont="1" applyFill="1" applyBorder="1"/>
    <xf numFmtId="172" fontId="159" fillId="52" borderId="29" xfId="0" applyNumberFormat="1" applyFont="1" applyFill="1" applyBorder="1" applyAlignment="1">
      <alignment horizontal="center" vertical="center"/>
    </xf>
    <xf numFmtId="9" fontId="157" fillId="0" borderId="29" xfId="0" applyNumberFormat="1" applyFont="1" applyBorder="1" applyAlignment="1">
      <alignment horizontal="center" vertical="center"/>
    </xf>
    <xf numFmtId="1" fontId="159" fillId="0" borderId="29" xfId="0" applyNumberFormat="1" applyFont="1" applyFill="1" applyBorder="1" applyAlignment="1">
      <alignment horizontal="center" vertical="center"/>
    </xf>
    <xf numFmtId="1" fontId="159" fillId="61" borderId="29" xfId="0" applyNumberFormat="1" applyFont="1" applyFill="1" applyBorder="1" applyAlignment="1">
      <alignment horizontal="center" vertical="center"/>
    </xf>
    <xf numFmtId="0" fontId="208" fillId="0" borderId="29" xfId="0" applyFont="1" applyBorder="1" applyAlignment="1">
      <alignment horizontal="center"/>
    </xf>
    <xf numFmtId="1" fontId="157" fillId="0" borderId="29" xfId="0" applyNumberFormat="1" applyFont="1" applyBorder="1" applyAlignment="1">
      <alignment horizontal="center"/>
    </xf>
    <xf numFmtId="0" fontId="159" fillId="71" borderId="29" xfId="0" applyFont="1" applyFill="1" applyBorder="1" applyAlignment="1" applyProtection="1">
      <alignment horizontal="center"/>
      <protection locked="0"/>
    </xf>
    <xf numFmtId="9" fontId="204" fillId="70" borderId="29" xfId="0" applyNumberFormat="1" applyFont="1" applyFill="1" applyBorder="1" applyAlignment="1">
      <alignment horizontal="center" vertical="center"/>
    </xf>
    <xf numFmtId="0" fontId="157" fillId="0" borderId="29" xfId="0" applyFont="1" applyFill="1" applyBorder="1"/>
    <xf numFmtId="170" fontId="204" fillId="0" borderId="29" xfId="0" applyNumberFormat="1" applyFont="1" applyBorder="1" applyAlignment="1">
      <alignment horizontal="center" vertical="center"/>
    </xf>
    <xf numFmtId="0" fontId="179" fillId="65" borderId="0" xfId="0" applyFont="1" applyFill="1" applyAlignment="1">
      <alignment vertical="center"/>
    </xf>
    <xf numFmtId="0" fontId="159" fillId="65" borderId="0" xfId="0" applyFont="1" applyFill="1" applyAlignment="1">
      <alignment vertical="center"/>
    </xf>
    <xf numFmtId="0" fontId="159" fillId="65" borderId="0" xfId="0" applyFont="1" applyFill="1" applyAlignment="1" applyProtection="1">
      <alignment horizontal="center" vertical="center"/>
      <protection hidden="1"/>
    </xf>
    <xf numFmtId="0" fontId="157" fillId="70" borderId="0" xfId="0" applyFont="1" applyFill="1" applyBorder="1" applyAlignment="1">
      <alignment vertical="center" wrapText="1"/>
    </xf>
    <xf numFmtId="0" fontId="188" fillId="0" borderId="0" xfId="0" applyFont="1" applyAlignment="1">
      <alignment vertical="center"/>
    </xf>
    <xf numFmtId="0" fontId="157" fillId="70" borderId="0" xfId="0" applyFont="1" applyFill="1" applyBorder="1" applyAlignment="1">
      <alignment horizontal="left" vertical="center" wrapText="1"/>
    </xf>
    <xf numFmtId="0" fontId="46" fillId="70" borderId="0" xfId="0" applyFont="1" applyFill="1" applyBorder="1" applyAlignment="1">
      <alignment vertical="center"/>
    </xf>
    <xf numFmtId="9" fontId="16" fillId="70" borderId="0" xfId="0" applyNumberFormat="1" applyFont="1" applyFill="1" applyBorder="1" applyAlignment="1">
      <alignment vertical="center" wrapText="1"/>
    </xf>
    <xf numFmtId="0" fontId="157" fillId="70" borderId="0" xfId="0" applyFont="1" applyFill="1" applyBorder="1" applyAlignment="1">
      <alignment horizontal="center" vertical="center" wrapText="1"/>
    </xf>
    <xf numFmtId="0" fontId="157" fillId="70" borderId="0" xfId="0" applyFont="1" applyFill="1" applyBorder="1" applyAlignment="1">
      <alignment horizontal="left" vertical="top" wrapText="1"/>
    </xf>
    <xf numFmtId="0" fontId="0" fillId="71" borderId="0" xfId="0" applyFill="1" applyAlignment="1">
      <alignment vertical="top"/>
    </xf>
    <xf numFmtId="0" fontId="0" fillId="70" borderId="0" xfId="0" applyFill="1" applyAlignment="1">
      <alignment vertical="top"/>
    </xf>
    <xf numFmtId="0" fontId="191" fillId="70" borderId="0" xfId="0" applyFont="1" applyFill="1" applyBorder="1" applyAlignment="1">
      <alignment horizontal="left" vertical="center" wrapText="1" indent="1"/>
    </xf>
    <xf numFmtId="0" fontId="159" fillId="70" borderId="0" xfId="0" applyFont="1" applyFill="1" applyAlignment="1">
      <alignment horizontal="left" indent="1"/>
    </xf>
    <xf numFmtId="0" fontId="157" fillId="70" borderId="0" xfId="0" applyFont="1" applyFill="1" applyAlignment="1">
      <alignment horizontal="left" indent="1"/>
    </xf>
    <xf numFmtId="0" fontId="191" fillId="70" borderId="0" xfId="0" applyFont="1" applyFill="1" applyAlignment="1">
      <alignment horizontal="left" indent="1"/>
    </xf>
    <xf numFmtId="0" fontId="157" fillId="70" borderId="0" xfId="0" applyFont="1" applyFill="1" applyBorder="1" applyAlignment="1">
      <alignment horizontal="left" indent="1"/>
    </xf>
    <xf numFmtId="0" fontId="157" fillId="70" borderId="0" xfId="0" applyFont="1" applyFill="1" applyBorder="1" applyAlignment="1">
      <alignment horizontal="left" wrapText="1" indent="1"/>
    </xf>
    <xf numFmtId="0" fontId="4" fillId="70" borderId="0" xfId="1321" applyFill="1" applyAlignment="1" applyProtection="1">
      <alignment horizontal="left" indent="1"/>
    </xf>
    <xf numFmtId="0" fontId="155" fillId="70" borderId="0" xfId="0" applyFont="1" applyFill="1" applyBorder="1" applyAlignment="1">
      <alignment horizontal="left" vertical="top" indent="1"/>
    </xf>
    <xf numFmtId="0" fontId="157" fillId="70" borderId="0" xfId="0" applyFont="1" applyFill="1" applyBorder="1" applyAlignment="1">
      <alignment horizontal="left" vertical="center" wrapText="1" indent="1"/>
    </xf>
    <xf numFmtId="0" fontId="212" fillId="70" borderId="0" xfId="0" applyFont="1" applyFill="1" applyBorder="1" applyAlignment="1">
      <alignment horizontal="left" vertical="center" indent="1"/>
    </xf>
    <xf numFmtId="0" fontId="212" fillId="70" borderId="0" xfId="0" applyFont="1" applyFill="1" applyBorder="1" applyAlignment="1">
      <alignment horizontal="left" vertical="center" wrapText="1" indent="1"/>
    </xf>
    <xf numFmtId="0" fontId="154" fillId="71" borderId="0" xfId="0" applyFont="1" applyFill="1" applyBorder="1" applyAlignment="1">
      <alignment horizontal="left" vertical="center" wrapText="1" indent="1"/>
    </xf>
    <xf numFmtId="0" fontId="211" fillId="70" borderId="0" xfId="0" applyFont="1" applyFill="1" applyBorder="1" applyAlignment="1">
      <alignment horizontal="left" vertical="top" wrapText="1" indent="1"/>
    </xf>
    <xf numFmtId="0" fontId="157" fillId="70" borderId="0" xfId="0" applyFont="1" applyFill="1" applyBorder="1" applyAlignment="1">
      <alignment horizontal="left" vertical="top" wrapText="1" indent="1"/>
    </xf>
    <xf numFmtId="0" fontId="211" fillId="70" borderId="0" xfId="0" applyFont="1" applyFill="1" applyBorder="1" applyAlignment="1">
      <alignment horizontal="left" vertical="center" wrapText="1" indent="1"/>
    </xf>
    <xf numFmtId="0" fontId="157" fillId="70" borderId="0" xfId="0" applyFont="1" applyFill="1" applyAlignment="1">
      <alignment horizontal="left" vertical="top" wrapText="1" indent="1"/>
    </xf>
    <xf numFmtId="0" fontId="15" fillId="70" borderId="0" xfId="0" applyFont="1" applyFill="1" applyAlignment="1">
      <alignment horizontal="left" vertical="top" wrapText="1" indent="1"/>
    </xf>
    <xf numFmtId="0" fontId="160" fillId="70" borderId="0" xfId="0" applyFont="1" applyFill="1" applyAlignment="1">
      <alignment horizontal="left" indent="1"/>
    </xf>
    <xf numFmtId="172" fontId="159" fillId="70" borderId="0" xfId="0" applyNumberFormat="1" applyFont="1" applyFill="1" applyBorder="1" applyAlignment="1">
      <alignment horizontal="right" vertical="center" indent="1"/>
    </xf>
    <xf numFmtId="0" fontId="155" fillId="71" borderId="0" xfId="0" applyFont="1" applyFill="1" applyBorder="1" applyAlignment="1" applyProtection="1">
      <alignment horizontal="center" vertical="center"/>
      <protection locked="0"/>
    </xf>
    <xf numFmtId="170" fontId="165" fillId="0" borderId="0" xfId="0" applyNumberFormat="1" applyFont="1" applyBorder="1" applyAlignment="1">
      <alignment horizontal="center" vertical="center"/>
    </xf>
    <xf numFmtId="0" fontId="183" fillId="0" borderId="34" xfId="0" applyFont="1" applyBorder="1" applyAlignment="1">
      <alignment horizontal="center" vertical="center"/>
    </xf>
    <xf numFmtId="170" fontId="165" fillId="0" borderId="34" xfId="0" applyNumberFormat="1" applyFont="1" applyBorder="1" applyAlignment="1">
      <alignment horizontal="center" vertical="center"/>
    </xf>
    <xf numFmtId="0" fontId="162" fillId="66" borderId="30" xfId="0" applyFont="1" applyFill="1" applyBorder="1" applyAlignment="1">
      <alignment vertical="center"/>
    </xf>
    <xf numFmtId="172" fontId="155" fillId="71" borderId="23" xfId="0" applyNumberFormat="1" applyFont="1" applyFill="1" applyBorder="1" applyAlignment="1">
      <alignment horizontal="center" vertical="center"/>
    </xf>
    <xf numFmtId="204" fontId="164" fillId="75" borderId="29" xfId="0" applyNumberFormat="1" applyFont="1" applyFill="1" applyBorder="1" applyAlignment="1">
      <alignment vertical="center"/>
    </xf>
    <xf numFmtId="204" fontId="164" fillId="75" borderId="29" xfId="0" applyNumberFormat="1" applyFont="1" applyFill="1" applyBorder="1" applyAlignment="1">
      <alignment horizontal="center" vertical="center" wrapText="1"/>
    </xf>
    <xf numFmtId="0" fontId="153" fillId="71" borderId="0" xfId="0" applyFont="1" applyFill="1" applyBorder="1" applyAlignment="1">
      <alignment horizontal="right" vertical="center"/>
    </xf>
    <xf numFmtId="0" fontId="153" fillId="71" borderId="0" xfId="0" applyFont="1" applyFill="1" applyBorder="1" applyAlignment="1">
      <alignment vertical="center"/>
    </xf>
    <xf numFmtId="0" fontId="153" fillId="71" borderId="22" xfId="0" applyFont="1" applyFill="1" applyBorder="1" applyAlignment="1">
      <alignment horizontal="right" vertical="center"/>
    </xf>
    <xf numFmtId="9" fontId="154" fillId="71" borderId="0" xfId="0" applyNumberFormat="1" applyFont="1" applyFill="1" applyBorder="1" applyAlignment="1" applyProtection="1">
      <alignment horizontal="center" vertical="center"/>
      <protection locked="0" hidden="1"/>
    </xf>
    <xf numFmtId="204" fontId="159" fillId="75" borderId="29" xfId="1330" applyNumberFormat="1" applyFont="1" applyFill="1" applyBorder="1" applyAlignment="1">
      <alignment vertical="center" wrapText="1"/>
    </xf>
    <xf numFmtId="204" fontId="159" fillId="75" borderId="29" xfId="1330" applyNumberFormat="1" applyFont="1" applyFill="1" applyBorder="1" applyAlignment="1">
      <alignment horizontal="right" vertical="center" wrapText="1"/>
    </xf>
    <xf numFmtId="172" fontId="161" fillId="78" borderId="29" xfId="0" applyNumberFormat="1" applyFont="1" applyFill="1" applyBorder="1" applyAlignment="1">
      <alignment horizontal="center" vertical="center"/>
    </xf>
    <xf numFmtId="0" fontId="166" fillId="0" borderId="29" xfId="0" applyFont="1" applyFill="1" applyBorder="1" applyAlignment="1">
      <alignment horizontal="left" vertical="center" indent="1"/>
    </xf>
    <xf numFmtId="204" fontId="164" fillId="75" borderId="29" xfId="0" applyNumberFormat="1" applyFont="1" applyFill="1" applyBorder="1" applyAlignment="1">
      <alignment horizontal="center" vertical="center"/>
    </xf>
    <xf numFmtId="0" fontId="164" fillId="0" borderId="29" xfId="1469" applyNumberFormat="1" applyFont="1" applyBorder="1" applyAlignment="1">
      <alignment horizontal="center" vertical="center" wrapText="1"/>
    </xf>
    <xf numFmtId="0" fontId="157" fillId="65" borderId="29" xfId="0" applyFont="1" applyFill="1" applyBorder="1" applyAlignment="1">
      <alignment horizontal="center" vertical="center"/>
    </xf>
    <xf numFmtId="170" fontId="165" fillId="0" borderId="29" xfId="0" applyNumberFormat="1" applyFont="1" applyBorder="1" applyAlignment="1">
      <alignment horizontal="center" vertical="center"/>
    </xf>
    <xf numFmtId="0" fontId="157" fillId="0" borderId="29" xfId="0" applyFont="1" applyFill="1" applyBorder="1" applyAlignment="1">
      <alignment horizontal="center" vertical="center" wrapText="1"/>
    </xf>
    <xf numFmtId="0" fontId="157" fillId="0" borderId="29" xfId="0" applyFont="1" applyBorder="1" applyAlignment="1">
      <alignment horizontal="center" vertical="center" wrapText="1"/>
    </xf>
    <xf numFmtId="0" fontId="157" fillId="0" borderId="29" xfId="0" applyFont="1" applyBorder="1" applyAlignment="1">
      <alignment horizontal="center" vertical="center"/>
    </xf>
    <xf numFmtId="172" fontId="161" fillId="78" borderId="29" xfId="0" applyNumberFormat="1" applyFont="1" applyFill="1" applyBorder="1" applyAlignment="1">
      <alignment horizontal="right" vertical="center" indent="1"/>
    </xf>
    <xf numFmtId="0" fontId="159" fillId="71" borderId="29" xfId="0" applyFont="1" applyFill="1" applyBorder="1" applyAlignment="1">
      <alignment horizontal="center" vertical="center" wrapText="1"/>
    </xf>
    <xf numFmtId="0" fontId="159" fillId="75" borderId="29" xfId="0" applyFont="1" applyFill="1" applyBorder="1" applyAlignment="1">
      <alignment horizontal="center" vertical="center" wrapText="1"/>
    </xf>
    <xf numFmtId="0" fontId="159" fillId="71" borderId="29" xfId="0" applyFont="1" applyFill="1" applyBorder="1" applyAlignment="1">
      <alignment horizontal="center" vertical="center"/>
    </xf>
    <xf numFmtId="49" fontId="159" fillId="71" borderId="29" xfId="1469" applyNumberFormat="1" applyFont="1" applyFill="1" applyBorder="1" applyAlignment="1">
      <alignment horizontal="center" vertical="center"/>
    </xf>
    <xf numFmtId="172" fontId="160" fillId="71" borderId="29" xfId="0" applyNumberFormat="1" applyFont="1" applyFill="1" applyBorder="1" applyAlignment="1">
      <alignment horizontal="center" vertical="center" wrapText="1"/>
    </xf>
    <xf numFmtId="172" fontId="159" fillId="75" borderId="29" xfId="1330" applyNumberFormat="1" applyFont="1" applyFill="1" applyBorder="1" applyAlignment="1">
      <alignment horizontal="center" vertical="center" wrapText="1"/>
    </xf>
    <xf numFmtId="0" fontId="155" fillId="71" borderId="0" xfId="0" applyFont="1" applyFill="1" applyBorder="1" applyAlignment="1">
      <alignment horizontal="center" vertical="center"/>
    </xf>
    <xf numFmtId="0" fontId="155" fillId="71" borderId="25" xfId="0" applyFont="1" applyFill="1" applyBorder="1" applyAlignment="1">
      <alignment horizontal="center" vertical="center"/>
    </xf>
    <xf numFmtId="0" fontId="145" fillId="77" borderId="0" xfId="0" applyFont="1" applyFill="1" applyBorder="1" applyAlignment="1">
      <alignment horizontal="right"/>
    </xf>
    <xf numFmtId="172" fontId="164" fillId="0" borderId="29" xfId="0" applyNumberFormat="1" applyFont="1" applyFill="1" applyBorder="1" applyAlignment="1">
      <alignment horizontal="right" vertical="center" indent="1"/>
    </xf>
    <xf numFmtId="172" fontId="164" fillId="65" borderId="29" xfId="0" applyNumberFormat="1" applyFont="1" applyFill="1" applyBorder="1" applyAlignment="1">
      <alignment horizontal="right" vertical="center" indent="1"/>
    </xf>
    <xf numFmtId="0" fontId="174" fillId="70" borderId="0" xfId="0" applyFont="1" applyFill="1" applyBorder="1" applyAlignment="1">
      <alignment horizontal="center" vertical="center"/>
    </xf>
    <xf numFmtId="0" fontId="164" fillId="0" borderId="29" xfId="0" applyFont="1" applyFill="1" applyBorder="1" applyAlignment="1">
      <alignment horizontal="center" vertical="center" wrapText="1"/>
    </xf>
    <xf numFmtId="172" fontId="159" fillId="0" borderId="29" xfId="0" applyNumberFormat="1" applyFont="1" applyFill="1" applyBorder="1" applyAlignment="1">
      <alignment horizontal="right" vertical="center" indent="1"/>
    </xf>
    <xf numFmtId="0" fontId="159" fillId="0" borderId="29" xfId="0" applyFont="1" applyFill="1" applyBorder="1" applyAlignment="1">
      <alignment horizontal="center" vertical="center" wrapText="1"/>
    </xf>
    <xf numFmtId="0" fontId="161" fillId="65" borderId="0" xfId="0" applyFont="1" applyFill="1" applyBorder="1" applyAlignment="1">
      <alignment horizontal="center" vertical="center"/>
    </xf>
    <xf numFmtId="172" fontId="206" fillId="78" borderId="29" xfId="0" applyNumberFormat="1" applyFont="1" applyFill="1" applyBorder="1" applyAlignment="1">
      <alignment horizontal="right" vertical="center" indent="1"/>
    </xf>
    <xf numFmtId="203" fontId="161" fillId="78" borderId="29" xfId="0" applyNumberFormat="1" applyFont="1" applyFill="1" applyBorder="1" applyAlignment="1">
      <alignment horizontal="center" vertical="center"/>
    </xf>
    <xf numFmtId="172" fontId="161" fillId="78" borderId="29" xfId="0" applyNumberFormat="1" applyFont="1" applyFill="1" applyBorder="1" applyAlignment="1">
      <alignment horizontal="center" vertical="center"/>
    </xf>
    <xf numFmtId="172" fontId="159" fillId="75" borderId="29" xfId="1330" applyNumberFormat="1" applyFont="1" applyFill="1" applyBorder="1" applyAlignment="1">
      <alignment horizontal="center" vertical="center" wrapText="1"/>
    </xf>
    <xf numFmtId="172" fontId="164" fillId="0" borderId="29" xfId="0" applyNumberFormat="1" applyFont="1" applyFill="1" applyBorder="1" applyAlignment="1">
      <alignment horizontal="right" vertical="center" indent="1"/>
    </xf>
    <xf numFmtId="172" fontId="206" fillId="78" borderId="29" xfId="0" applyNumberFormat="1" applyFont="1" applyFill="1" applyBorder="1" applyAlignment="1">
      <alignment horizontal="right" vertical="center" indent="1"/>
    </xf>
    <xf numFmtId="0" fontId="204" fillId="0" borderId="29" xfId="0" applyFont="1" applyBorder="1" applyAlignment="1">
      <alignment horizontal="center" vertical="center" wrapText="1"/>
    </xf>
    <xf numFmtId="0" fontId="159" fillId="71" borderId="35" xfId="0" applyFont="1" applyFill="1" applyBorder="1" applyAlignment="1">
      <alignment horizontal="center" vertical="center"/>
    </xf>
    <xf numFmtId="49" fontId="159" fillId="71" borderId="35" xfId="1469" applyNumberFormat="1" applyFont="1" applyFill="1" applyBorder="1" applyAlignment="1">
      <alignment horizontal="center" vertical="center"/>
    </xf>
    <xf numFmtId="0" fontId="0" fillId="0" borderId="0" xfId="0" applyBorder="1" applyProtection="1">
      <protection locked="0"/>
    </xf>
    <xf numFmtId="169" fontId="165" fillId="0" borderId="47" xfId="0" applyNumberFormat="1" applyFont="1" applyBorder="1" applyAlignment="1">
      <alignment horizontal="center" vertical="center"/>
    </xf>
    <xf numFmtId="0" fontId="161" fillId="66" borderId="51" xfId="0" applyFont="1" applyFill="1" applyBorder="1" applyAlignment="1">
      <alignment horizontal="center" vertical="center" wrapText="1"/>
    </xf>
    <xf numFmtId="169" fontId="157" fillId="0" borderId="47" xfId="0" applyNumberFormat="1" applyFont="1" applyFill="1" applyBorder="1" applyAlignment="1">
      <alignment horizontal="center" vertical="center"/>
    </xf>
    <xf numFmtId="169" fontId="157" fillId="0" borderId="47" xfId="0" applyNumberFormat="1" applyFont="1" applyBorder="1" applyAlignment="1">
      <alignment horizontal="center" vertical="center"/>
    </xf>
    <xf numFmtId="0" fontId="162" fillId="66" borderId="48" xfId="0" applyFont="1" applyFill="1" applyBorder="1" applyAlignment="1">
      <alignment vertical="center"/>
    </xf>
    <xf numFmtId="169" fontId="165" fillId="0" borderId="56" xfId="0" applyNumberFormat="1" applyFont="1" applyBorder="1" applyAlignment="1">
      <alignment horizontal="center" vertical="center"/>
    </xf>
    <xf numFmtId="169" fontId="157" fillId="0" borderId="53" xfId="0" applyNumberFormat="1" applyFont="1" applyBorder="1" applyAlignment="1">
      <alignment horizontal="center" vertical="center"/>
    </xf>
    <xf numFmtId="169" fontId="165" fillId="0" borderId="47" xfId="0" applyNumberFormat="1" applyFont="1" applyFill="1" applyBorder="1" applyAlignment="1">
      <alignment horizontal="center" vertical="center"/>
    </xf>
    <xf numFmtId="0" fontId="184" fillId="65" borderId="46" xfId="0" applyFont="1" applyFill="1" applyBorder="1" applyAlignment="1">
      <alignment horizontal="left" vertical="center" indent="1"/>
    </xf>
    <xf numFmtId="169" fontId="165" fillId="65" borderId="47" xfId="0" applyNumberFormat="1" applyFont="1" applyFill="1" applyBorder="1" applyAlignment="1">
      <alignment horizontal="center" vertical="center"/>
    </xf>
    <xf numFmtId="0" fontId="161" fillId="66" borderId="47" xfId="0" applyFont="1" applyFill="1" applyBorder="1" applyAlignment="1">
      <alignment horizontal="center" vertical="center" wrapText="1"/>
    </xf>
    <xf numFmtId="0" fontId="161" fillId="71" borderId="46" xfId="0" applyFont="1" applyFill="1" applyBorder="1" applyAlignment="1">
      <alignment horizontal="left" vertical="center" indent="1"/>
    </xf>
    <xf numFmtId="0" fontId="159" fillId="71" borderId="47" xfId="0" applyFont="1" applyFill="1" applyBorder="1" applyAlignment="1">
      <alignment horizontal="center" vertical="center" wrapText="1"/>
    </xf>
    <xf numFmtId="0" fontId="166" fillId="0" borderId="46" xfId="0" applyFont="1" applyFill="1" applyBorder="1" applyAlignment="1">
      <alignment horizontal="left" vertical="center" indent="1"/>
    </xf>
    <xf numFmtId="4" fontId="165" fillId="0" borderId="47" xfId="0" applyNumberFormat="1" applyFont="1" applyBorder="1" applyAlignment="1">
      <alignment horizontal="center" vertical="center"/>
    </xf>
    <xf numFmtId="0" fontId="166" fillId="0" borderId="46" xfId="0" applyFont="1" applyFill="1" applyBorder="1" applyAlignment="1">
      <alignment horizontal="left" vertical="center" wrapText="1" indent="1"/>
    </xf>
    <xf numFmtId="0" fontId="143" fillId="65" borderId="52" xfId="0" applyFont="1" applyFill="1" applyBorder="1" applyAlignment="1" applyProtection="1">
      <alignment horizontal="left" vertical="center" indent="1"/>
      <protection locked="0"/>
    </xf>
    <xf numFmtId="0" fontId="8" fillId="65" borderId="53" xfId="0" applyFont="1" applyFill="1" applyBorder="1" applyAlignment="1" applyProtection="1">
      <alignment horizontal="center" vertical="center"/>
      <protection locked="0"/>
    </xf>
    <xf numFmtId="0" fontId="46" fillId="77" borderId="60" xfId="0" applyFont="1" applyFill="1" applyBorder="1" applyAlignment="1">
      <alignment vertical="center"/>
    </xf>
    <xf numFmtId="0" fontId="46" fillId="77" borderId="61" xfId="0" applyFont="1" applyFill="1" applyBorder="1" applyAlignment="1">
      <alignment vertical="center"/>
    </xf>
    <xf numFmtId="9" fontId="16" fillId="77" borderId="61" xfId="0" applyNumberFormat="1" applyFont="1" applyFill="1" applyBorder="1" applyAlignment="1">
      <alignment vertical="center" wrapText="1"/>
    </xf>
    <xf numFmtId="0" fontId="141" fillId="77" borderId="61" xfId="0" applyFont="1" applyFill="1" applyBorder="1" applyAlignment="1">
      <alignment horizontal="left" vertical="center"/>
    </xf>
    <xf numFmtId="0" fontId="140" fillId="77" borderId="61" xfId="0" applyFont="1" applyFill="1" applyBorder="1" applyAlignment="1">
      <alignment horizontal="left" vertical="center"/>
    </xf>
    <xf numFmtId="0" fontId="137" fillId="77" borderId="61" xfId="0" applyFont="1" applyFill="1" applyBorder="1" applyAlignment="1"/>
    <xf numFmtId="0" fontId="150" fillId="77" borderId="61" xfId="0" applyFont="1" applyFill="1" applyBorder="1" applyAlignment="1">
      <alignment horizontal="right" vertical="center"/>
    </xf>
    <xf numFmtId="0" fontId="138" fillId="77" borderId="62" xfId="0" applyFont="1" applyFill="1" applyBorder="1" applyAlignment="1">
      <alignment horizontal="right"/>
    </xf>
    <xf numFmtId="0" fontId="46" fillId="77" borderId="52" xfId="0" applyFont="1" applyFill="1" applyBorder="1" applyAlignment="1">
      <alignment vertical="center"/>
    </xf>
    <xf numFmtId="0" fontId="138" fillId="77" borderId="53" xfId="0" applyFont="1" applyFill="1" applyBorder="1" applyAlignment="1">
      <alignment horizontal="right"/>
    </xf>
    <xf numFmtId="0" fontId="15" fillId="71" borderId="52" xfId="0" applyFont="1" applyFill="1" applyBorder="1"/>
    <xf numFmtId="169" fontId="155" fillId="71" borderId="63" xfId="0" applyNumberFormat="1" applyFont="1" applyFill="1" applyBorder="1" applyAlignment="1">
      <alignment horizontal="center" vertical="center"/>
    </xf>
    <xf numFmtId="1" fontId="181" fillId="65" borderId="52" xfId="0" applyNumberFormat="1" applyFont="1" applyFill="1" applyBorder="1" applyAlignment="1">
      <alignment horizontal="center"/>
    </xf>
    <xf numFmtId="0" fontId="157" fillId="65" borderId="53" xfId="0" applyFont="1" applyFill="1" applyBorder="1"/>
    <xf numFmtId="0" fontId="161" fillId="66" borderId="53" xfId="0" applyFont="1" applyFill="1" applyBorder="1" applyAlignment="1">
      <alignment horizontal="center" vertical="center" wrapText="1"/>
    </xf>
    <xf numFmtId="0" fontId="162" fillId="71" borderId="46" xfId="0" applyFont="1" applyFill="1" applyBorder="1" applyAlignment="1">
      <alignment horizontal="left" vertical="center" indent="1"/>
    </xf>
    <xf numFmtId="0" fontId="180" fillId="0" borderId="46" xfId="0" applyFont="1" applyFill="1" applyBorder="1" applyAlignment="1">
      <alignment horizontal="left" vertical="center" indent="1"/>
    </xf>
    <xf numFmtId="0" fontId="180" fillId="0" borderId="46" xfId="0" applyFont="1" applyFill="1" applyBorder="1" applyAlignment="1">
      <alignment horizontal="left" vertical="center" wrapText="1" indent="1"/>
    </xf>
    <xf numFmtId="169" fontId="183" fillId="0" borderId="47" xfId="0" applyNumberFormat="1" applyFont="1" applyBorder="1" applyAlignment="1">
      <alignment horizontal="center" vertical="center"/>
    </xf>
    <xf numFmtId="0" fontId="143" fillId="70" borderId="52" xfId="0" applyFont="1" applyFill="1" applyBorder="1" applyAlignment="1">
      <alignment horizontal="left" vertical="center" indent="1"/>
    </xf>
    <xf numFmtId="169" fontId="18" fillId="70" borderId="53" xfId="0" applyNumberFormat="1" applyFont="1" applyFill="1" applyBorder="1" applyAlignment="1">
      <alignment horizontal="center" vertical="center"/>
    </xf>
    <xf numFmtId="0" fontId="140" fillId="77" borderId="61" xfId="0" applyFont="1" applyFill="1" applyBorder="1" applyAlignment="1">
      <alignment horizontal="right" vertical="center"/>
    </xf>
    <xf numFmtId="0" fontId="141" fillId="77" borderId="62" xfId="0" applyFont="1" applyFill="1" applyBorder="1" applyAlignment="1">
      <alignment horizontal="left" vertical="center"/>
    </xf>
    <xf numFmtId="0" fontId="141" fillId="77" borderId="53" xfId="0" applyFont="1" applyFill="1" applyBorder="1" applyAlignment="1">
      <alignment horizontal="left" vertical="center"/>
    </xf>
    <xf numFmtId="0" fontId="157" fillId="0" borderId="47" xfId="0" applyFont="1" applyFill="1" applyBorder="1" applyAlignment="1">
      <alignment horizontal="center" vertical="center"/>
    </xf>
    <xf numFmtId="0" fontId="143" fillId="65" borderId="52" xfId="0" applyFont="1" applyFill="1" applyBorder="1" applyAlignment="1">
      <alignment horizontal="left" vertical="center" indent="1"/>
    </xf>
    <xf numFmtId="0" fontId="145" fillId="77" borderId="53" xfId="0" applyFont="1" applyFill="1" applyBorder="1" applyAlignment="1">
      <alignment horizontal="left" vertical="center"/>
    </xf>
    <xf numFmtId="0" fontId="157" fillId="65" borderId="46" xfId="0" applyFont="1" applyFill="1" applyBorder="1"/>
    <xf numFmtId="0" fontId="157" fillId="65" borderId="47" xfId="0" applyFont="1" applyFill="1" applyBorder="1"/>
    <xf numFmtId="0" fontId="166" fillId="65" borderId="52" xfId="0" applyFont="1" applyFill="1" applyBorder="1" applyAlignment="1">
      <alignment horizontal="left" vertical="center" indent="1"/>
    </xf>
    <xf numFmtId="169" fontId="165" fillId="65" borderId="53" xfId="0" applyNumberFormat="1" applyFont="1" applyFill="1" applyBorder="1" applyAlignment="1">
      <alignment horizontal="center" vertical="center"/>
    </xf>
    <xf numFmtId="169" fontId="18" fillId="65" borderId="53" xfId="0" applyNumberFormat="1" applyFont="1" applyFill="1" applyBorder="1" applyAlignment="1">
      <alignment horizontal="center" vertical="center"/>
    </xf>
    <xf numFmtId="0" fontId="125" fillId="77" borderId="61" xfId="0" applyFont="1" applyFill="1" applyBorder="1" applyAlignment="1"/>
    <xf numFmtId="0" fontId="140" fillId="77" borderId="62" xfId="0" applyFont="1" applyFill="1" applyBorder="1" applyAlignment="1">
      <alignment horizontal="right" vertical="center"/>
    </xf>
    <xf numFmtId="0" fontId="140" fillId="77" borderId="53" xfId="0" applyFont="1" applyFill="1" applyBorder="1" applyAlignment="1">
      <alignment horizontal="right" vertical="center"/>
    </xf>
    <xf numFmtId="0" fontId="158" fillId="65" borderId="52" xfId="0" applyFont="1" applyFill="1" applyBorder="1" applyAlignment="1">
      <alignment horizontal="left" vertical="center" indent="1"/>
    </xf>
    <xf numFmtId="0" fontId="163" fillId="0" borderId="46" xfId="0" applyFont="1" applyFill="1" applyBorder="1" applyAlignment="1">
      <alignment horizontal="left" vertical="center" indent="1"/>
    </xf>
    <xf numFmtId="0" fontId="166" fillId="70" borderId="46" xfId="0" applyFont="1" applyFill="1" applyBorder="1" applyAlignment="1">
      <alignment horizontal="left" vertical="center" indent="1"/>
    </xf>
    <xf numFmtId="0" fontId="170" fillId="65" borderId="46" xfId="0" applyFont="1" applyFill="1" applyBorder="1" applyAlignment="1">
      <alignment horizontal="left" vertical="center"/>
    </xf>
    <xf numFmtId="0" fontId="157" fillId="65" borderId="47" xfId="0" applyFont="1" applyFill="1" applyBorder="1" applyAlignment="1">
      <alignment horizontal="center" vertical="center"/>
    </xf>
    <xf numFmtId="171" fontId="161" fillId="66" borderId="53" xfId="1330" applyNumberFormat="1" applyFont="1" applyFill="1" applyBorder="1" applyAlignment="1">
      <alignment horizontal="center" vertical="center" wrapText="1"/>
    </xf>
    <xf numFmtId="0" fontId="171" fillId="0" borderId="46" xfId="0" applyFont="1" applyFill="1" applyBorder="1" applyAlignment="1">
      <alignment horizontal="left" vertical="center" indent="1"/>
    </xf>
    <xf numFmtId="169" fontId="172" fillId="0" borderId="47" xfId="0" applyNumberFormat="1" applyFont="1" applyBorder="1" applyAlignment="1">
      <alignment horizontal="center" vertical="center"/>
    </xf>
    <xf numFmtId="0" fontId="15" fillId="70" borderId="53" xfId="0" applyFont="1" applyFill="1" applyBorder="1"/>
    <xf numFmtId="0" fontId="152" fillId="77" borderId="61" xfId="0" applyFont="1" applyFill="1" applyBorder="1" applyAlignment="1">
      <alignment horizontal="right" vertical="center"/>
    </xf>
    <xf numFmtId="0" fontId="174" fillId="70" borderId="52" xfId="0" applyFont="1" applyFill="1" applyBorder="1" applyAlignment="1">
      <alignment horizontal="right" vertical="center"/>
    </xf>
    <xf numFmtId="0" fontId="174" fillId="70" borderId="53" xfId="0" applyFont="1" applyFill="1" applyBorder="1" applyAlignment="1">
      <alignment horizontal="right" vertical="center"/>
    </xf>
    <xf numFmtId="0" fontId="180" fillId="70" borderId="46" xfId="0" applyFont="1" applyFill="1" applyBorder="1" applyAlignment="1">
      <alignment horizontal="left" vertical="center" indent="1"/>
    </xf>
    <xf numFmtId="0" fontId="159" fillId="71" borderId="47" xfId="0" applyFont="1" applyFill="1" applyBorder="1" applyAlignment="1">
      <alignment horizontal="left" vertical="center" wrapText="1" indent="1"/>
    </xf>
    <xf numFmtId="2" fontId="183" fillId="0" borderId="47" xfId="1436" applyNumberFormat="1" applyFont="1" applyBorder="1" applyAlignment="1">
      <alignment horizontal="center" vertical="center"/>
    </xf>
    <xf numFmtId="2" fontId="157" fillId="65" borderId="47" xfId="0" applyNumberFormat="1" applyFont="1" applyFill="1" applyBorder="1" applyAlignment="1">
      <alignment horizontal="center" vertical="center"/>
    </xf>
    <xf numFmtId="0" fontId="0" fillId="70" borderId="53" xfId="0" applyFill="1" applyBorder="1"/>
    <xf numFmtId="0" fontId="159" fillId="70" borderId="29" xfId="0" applyFont="1" applyFill="1" applyBorder="1" applyAlignment="1">
      <alignment horizontal="right" vertical="center" indent="1"/>
    </xf>
    <xf numFmtId="0" fontId="8" fillId="71" borderId="0" xfId="0" applyFont="1" applyFill="1" applyAlignment="1">
      <alignment horizontal="center"/>
    </xf>
    <xf numFmtId="0" fontId="134" fillId="71" borderId="0" xfId="0" applyFont="1" applyFill="1" applyBorder="1"/>
    <xf numFmtId="1" fontId="181" fillId="70" borderId="52" xfId="0" applyNumberFormat="1" applyFont="1" applyFill="1" applyBorder="1" applyAlignment="1">
      <alignment horizontal="center"/>
    </xf>
    <xf numFmtId="0" fontId="197" fillId="70" borderId="53" xfId="0" applyFont="1" applyFill="1" applyBorder="1"/>
    <xf numFmtId="0" fontId="199" fillId="66" borderId="53" xfId="0" applyFont="1" applyFill="1" applyBorder="1" applyAlignment="1">
      <alignment horizontal="center" vertical="center" wrapText="1"/>
    </xf>
    <xf numFmtId="0" fontId="162" fillId="66" borderId="52" xfId="0" applyFont="1" applyFill="1" applyBorder="1" applyAlignment="1">
      <alignment vertical="center"/>
    </xf>
    <xf numFmtId="0" fontId="204" fillId="0" borderId="47" xfId="0" applyFont="1" applyBorder="1" applyAlignment="1">
      <alignment horizontal="center" vertical="center"/>
    </xf>
    <xf numFmtId="0" fontId="174" fillId="66" borderId="52" xfId="0" applyFont="1" applyFill="1" applyBorder="1" applyAlignment="1">
      <alignment horizontal="left" vertical="center" indent="1"/>
    </xf>
    <xf numFmtId="0" fontId="174" fillId="66" borderId="53" xfId="0" applyFont="1" applyFill="1" applyBorder="1" applyAlignment="1">
      <alignment horizontal="center" vertical="center" wrapText="1"/>
    </xf>
    <xf numFmtId="0" fontId="161" fillId="65" borderId="52" xfId="0" applyFont="1" applyFill="1" applyBorder="1" applyAlignment="1">
      <alignment horizontal="center" vertical="center"/>
    </xf>
    <xf numFmtId="0" fontId="199" fillId="65" borderId="53" xfId="0" applyFont="1" applyFill="1" applyBorder="1" applyAlignment="1">
      <alignment horizontal="center" vertical="center"/>
    </xf>
    <xf numFmtId="0" fontId="175" fillId="66" borderId="52" xfId="0" applyFont="1" applyFill="1" applyBorder="1" applyAlignment="1">
      <alignment vertical="center"/>
    </xf>
    <xf numFmtId="0" fontId="175" fillId="66" borderId="53" xfId="0" applyFont="1" applyFill="1" applyBorder="1" applyAlignment="1">
      <alignment vertical="center"/>
    </xf>
    <xf numFmtId="0" fontId="135" fillId="70" borderId="53" xfId="0" applyFont="1" applyFill="1" applyBorder="1"/>
    <xf numFmtId="0" fontId="129" fillId="70" borderId="52" xfId="1321" applyFont="1" applyFill="1" applyBorder="1" applyAlignment="1" applyProtection="1">
      <alignment horizontal="right"/>
    </xf>
    <xf numFmtId="0" fontId="104" fillId="70" borderId="52" xfId="1321" applyFont="1" applyFill="1" applyBorder="1" applyAlignment="1" applyProtection="1">
      <alignment horizontal="right"/>
    </xf>
    <xf numFmtId="0" fontId="124" fillId="70" borderId="52" xfId="0" applyFont="1" applyFill="1" applyBorder="1" applyAlignment="1">
      <alignment horizontal="right"/>
    </xf>
    <xf numFmtId="0" fontId="122" fillId="70" borderId="52" xfId="0" applyFont="1" applyFill="1" applyBorder="1" applyAlignment="1">
      <alignment horizontal="right"/>
    </xf>
    <xf numFmtId="0" fontId="122" fillId="70" borderId="57" xfId="0" applyFont="1" applyFill="1" applyBorder="1" applyAlignment="1">
      <alignment horizontal="right"/>
    </xf>
    <xf numFmtId="0" fontId="46" fillId="77" borderId="62" xfId="0" applyFont="1" applyFill="1" applyBorder="1" applyAlignment="1">
      <alignment vertical="center"/>
    </xf>
    <xf numFmtId="0" fontId="157" fillId="70" borderId="53" xfId="0" applyFont="1" applyFill="1" applyBorder="1"/>
    <xf numFmtId="0" fontId="195" fillId="0" borderId="46" xfId="0" applyFont="1" applyBorder="1"/>
    <xf numFmtId="0" fontId="208" fillId="0" borderId="47" xfId="0" applyFont="1" applyBorder="1" applyAlignment="1">
      <alignment horizontal="center"/>
    </xf>
    <xf numFmtId="0" fontId="157" fillId="0" borderId="46" xfId="0" applyFont="1" applyBorder="1"/>
    <xf numFmtId="0" fontId="157" fillId="0" borderId="47" xfId="0" applyFont="1" applyBorder="1"/>
    <xf numFmtId="0" fontId="209" fillId="0" borderId="46" xfId="0" applyFont="1" applyBorder="1" applyAlignment="1">
      <alignment horizontal="left" vertical="center" indent="1"/>
    </xf>
    <xf numFmtId="169" fontId="204" fillId="0" borderId="47" xfId="0" applyNumberFormat="1" applyFont="1" applyBorder="1" applyAlignment="1">
      <alignment horizontal="center" vertical="center"/>
    </xf>
    <xf numFmtId="0" fontId="139" fillId="70" borderId="53" xfId="0" applyFont="1" applyFill="1" applyBorder="1" applyAlignment="1">
      <alignment horizontal="left" vertical="center" wrapText="1" indent="1"/>
    </xf>
    <xf numFmtId="0" fontId="153" fillId="71" borderId="52" xfId="0" applyFont="1" applyFill="1" applyBorder="1" applyAlignment="1">
      <alignment horizontal="right" vertical="center"/>
    </xf>
    <xf numFmtId="172" fontId="164" fillId="0" borderId="29" xfId="0" applyNumberFormat="1" applyFont="1" applyFill="1" applyBorder="1" applyAlignment="1">
      <alignment vertical="center"/>
    </xf>
    <xf numFmtId="172" fontId="157" fillId="71" borderId="0" xfId="0" applyNumberFormat="1" applyFont="1" applyFill="1" applyBorder="1" applyAlignment="1" applyProtection="1">
      <alignment horizontal="center"/>
      <protection hidden="1"/>
    </xf>
    <xf numFmtId="172" fontId="157" fillId="65" borderId="0" xfId="0" applyNumberFormat="1" applyFont="1" applyFill="1" applyAlignment="1" applyProtection="1">
      <alignment horizontal="center"/>
      <protection hidden="1"/>
    </xf>
    <xf numFmtId="172" fontId="157" fillId="71" borderId="0" xfId="0" applyNumberFormat="1" applyFont="1" applyFill="1" applyAlignment="1" applyProtection="1">
      <alignment horizontal="center"/>
      <protection hidden="1"/>
    </xf>
    <xf numFmtId="172" fontId="157" fillId="70" borderId="0" xfId="0" applyNumberFormat="1" applyFont="1" applyFill="1" applyAlignment="1" applyProtection="1">
      <alignment horizontal="center"/>
      <protection hidden="1"/>
    </xf>
    <xf numFmtId="172" fontId="159" fillId="65" borderId="0" xfId="0" applyNumberFormat="1" applyFont="1" applyFill="1" applyAlignment="1" applyProtection="1">
      <alignment horizontal="center" vertical="center"/>
      <protection hidden="1"/>
    </xf>
    <xf numFmtId="203" fontId="161" fillId="78" borderId="29" xfId="0" applyNumberFormat="1" applyFont="1" applyFill="1" applyBorder="1" applyAlignment="1">
      <alignment horizontal="right" vertical="center"/>
    </xf>
    <xf numFmtId="172" fontId="164" fillId="65" borderId="29" xfId="0" applyNumberFormat="1" applyFont="1" applyFill="1" applyBorder="1" applyAlignment="1">
      <alignment vertical="center"/>
    </xf>
    <xf numFmtId="172" fontId="164" fillId="70" borderId="29" xfId="0" applyNumberFormat="1" applyFont="1" applyFill="1" applyBorder="1" applyAlignment="1">
      <alignment vertical="center"/>
    </xf>
    <xf numFmtId="0" fontId="204" fillId="0" borderId="29" xfId="0" applyFont="1" applyBorder="1" applyAlignment="1">
      <alignment vertical="center" wrapText="1"/>
    </xf>
    <xf numFmtId="204" fontId="159" fillId="75" borderId="29" xfId="1330" applyNumberFormat="1" applyFont="1" applyFill="1" applyBorder="1" applyAlignment="1">
      <alignment horizontal="center" vertical="center" wrapText="1"/>
    </xf>
    <xf numFmtId="170" fontId="165" fillId="0" borderId="29" xfId="0" applyNumberFormat="1" applyFont="1" applyBorder="1" applyAlignment="1">
      <alignment horizontal="center" vertical="center"/>
    </xf>
    <xf numFmtId="0" fontId="122" fillId="65" borderId="58" xfId="0" applyFont="1" applyFill="1" applyBorder="1" applyAlignment="1" applyProtection="1">
      <alignment horizontal="right"/>
      <protection locked="0"/>
    </xf>
    <xf numFmtId="0" fontId="122" fillId="65" borderId="59" xfId="0" applyFont="1" applyFill="1" applyBorder="1" applyAlignment="1" applyProtection="1">
      <alignment horizontal="right"/>
      <protection locked="0"/>
    </xf>
    <xf numFmtId="0" fontId="122" fillId="70" borderId="0" xfId="0" applyFont="1" applyFill="1" applyBorder="1" applyAlignment="1" applyProtection="1">
      <alignment horizontal="right"/>
      <protection locked="0"/>
    </xf>
    <xf numFmtId="0" fontId="122" fillId="65" borderId="53" xfId="0" applyFont="1" applyFill="1" applyBorder="1" applyAlignment="1" applyProtection="1">
      <alignment horizontal="right"/>
      <protection locked="0"/>
    </xf>
    <xf numFmtId="0" fontId="124" fillId="0" borderId="0" xfId="0" applyFont="1" applyBorder="1" applyAlignment="1" applyProtection="1">
      <alignment horizontal="right"/>
      <protection locked="0"/>
    </xf>
    <xf numFmtId="0" fontId="124" fillId="0" borderId="53" xfId="0" applyFont="1" applyBorder="1" applyAlignment="1" applyProtection="1">
      <alignment horizontal="right"/>
      <protection locked="0"/>
    </xf>
    <xf numFmtId="0" fontId="104" fillId="65" borderId="0" xfId="1321" applyFont="1" applyFill="1" applyBorder="1" applyAlignment="1" applyProtection="1">
      <alignment horizontal="right"/>
      <protection locked="0"/>
    </xf>
    <xf numFmtId="0" fontId="104" fillId="65" borderId="53" xfId="1321" applyFont="1" applyFill="1" applyBorder="1" applyAlignment="1" applyProtection="1">
      <alignment horizontal="right"/>
      <protection locked="0"/>
    </xf>
    <xf numFmtId="0" fontId="129" fillId="65" borderId="0" xfId="1321" applyFont="1" applyFill="1" applyBorder="1" applyAlignment="1" applyProtection="1">
      <alignment horizontal="right"/>
      <protection locked="0"/>
    </xf>
    <xf numFmtId="0" fontId="129" fillId="65" borderId="53" xfId="1321" applyFont="1" applyFill="1" applyBorder="1" applyAlignment="1" applyProtection="1">
      <alignment horizontal="right"/>
      <protection locked="0"/>
    </xf>
    <xf numFmtId="0" fontId="159" fillId="71" borderId="29" xfId="0" applyFont="1" applyFill="1" applyBorder="1" applyAlignment="1">
      <alignment horizontal="center" vertical="center"/>
    </xf>
    <xf numFmtId="49" fontId="159" fillId="71" borderId="29" xfId="1469" applyNumberFormat="1" applyFont="1" applyFill="1" applyBorder="1" applyAlignment="1">
      <alignment horizontal="center" vertical="center"/>
    </xf>
    <xf numFmtId="0" fontId="157" fillId="0" borderId="29" xfId="0" applyFont="1" applyBorder="1" applyAlignment="1">
      <alignment horizontal="center" vertical="center" wrapText="1"/>
    </xf>
    <xf numFmtId="0" fontId="157" fillId="0" borderId="29" xfId="0" applyFont="1" applyBorder="1" applyAlignment="1">
      <alignment horizontal="center" vertical="center"/>
    </xf>
    <xf numFmtId="172" fontId="159" fillId="0" borderId="29" xfId="0" applyNumberFormat="1" applyFont="1" applyFill="1" applyBorder="1" applyAlignment="1">
      <alignment horizontal="right" vertical="center" indent="1"/>
    </xf>
    <xf numFmtId="0" fontId="152" fillId="77" borderId="0" xfId="0" applyFont="1" applyFill="1" applyBorder="1" applyAlignment="1">
      <alignment horizontal="right" vertical="center"/>
    </xf>
    <xf numFmtId="0" fontId="153" fillId="72" borderId="22" xfId="0" applyFont="1" applyFill="1" applyBorder="1" applyAlignment="1">
      <alignment horizontal="right" vertical="center"/>
    </xf>
    <xf numFmtId="9" fontId="154" fillId="72" borderId="23" xfId="0" applyNumberFormat="1" applyFont="1" applyFill="1" applyBorder="1" applyAlignment="1" applyProtection="1">
      <alignment horizontal="center" vertical="center"/>
      <protection locked="0" hidden="1"/>
    </xf>
    <xf numFmtId="169" fontId="155" fillId="72" borderId="0" xfId="0" applyNumberFormat="1" applyFont="1" applyFill="1" applyBorder="1" applyAlignment="1">
      <alignment horizontal="center" vertical="center"/>
    </xf>
    <xf numFmtId="0" fontId="180" fillId="72" borderId="0" xfId="0" applyFont="1" applyFill="1" applyBorder="1" applyAlignment="1"/>
    <xf numFmtId="0" fontId="155" fillId="72" borderId="0" xfId="0" applyFont="1" applyFill="1" applyBorder="1" applyAlignment="1">
      <alignment horizontal="center" vertical="center"/>
    </xf>
    <xf numFmtId="0" fontId="153" fillId="72" borderId="0" xfId="0" applyFont="1" applyFill="1" applyBorder="1" applyAlignment="1">
      <alignment horizontal="right" vertical="center"/>
    </xf>
    <xf numFmtId="172" fontId="155" fillId="72" borderId="23" xfId="0" applyNumberFormat="1" applyFont="1" applyFill="1" applyBorder="1" applyAlignment="1">
      <alignment horizontal="center" vertical="center"/>
    </xf>
    <xf numFmtId="171" fontId="161" fillId="66" borderId="20" xfId="1644" applyNumberFormat="1" applyFont="1" applyFill="1" applyBorder="1" applyAlignment="1">
      <alignment horizontal="center" vertical="center" wrapText="1"/>
    </xf>
    <xf numFmtId="171" fontId="161" fillId="0" borderId="20" xfId="1644" applyNumberFormat="1" applyFont="1" applyFill="1" applyBorder="1" applyAlignment="1">
      <alignment horizontal="center" vertical="center" wrapText="1"/>
    </xf>
    <xf numFmtId="0" fontId="161" fillId="66" borderId="73" xfId="0" applyFont="1" applyFill="1" applyBorder="1" applyAlignment="1">
      <alignment horizontal="center" vertical="center" wrapText="1"/>
    </xf>
    <xf numFmtId="9" fontId="165" fillId="0" borderId="29" xfId="0" applyNumberFormat="1" applyFont="1" applyBorder="1" applyAlignment="1" applyProtection="1">
      <alignment horizontal="center" vertical="center"/>
      <protection hidden="1"/>
    </xf>
    <xf numFmtId="169" fontId="165" fillId="0" borderId="29" xfId="0" applyNumberFormat="1" applyFont="1" applyBorder="1" applyAlignment="1">
      <alignment horizontal="center" vertical="center"/>
    </xf>
    <xf numFmtId="169" fontId="165" fillId="0" borderId="29" xfId="0" applyNumberFormat="1" applyFont="1" applyFill="1" applyBorder="1" applyAlignment="1">
      <alignment horizontal="center" vertical="center"/>
    </xf>
    <xf numFmtId="0" fontId="161" fillId="66" borderId="25" xfId="0" applyFont="1" applyFill="1" applyBorder="1" applyAlignment="1">
      <alignment horizontal="center" vertical="center" wrapText="1"/>
    </xf>
    <xf numFmtId="169" fontId="157" fillId="0" borderId="29" xfId="0" applyNumberFormat="1" applyFont="1" applyBorder="1" applyAlignment="1">
      <alignment horizontal="center" vertical="center"/>
    </xf>
    <xf numFmtId="169" fontId="183" fillId="0" borderId="29" xfId="0" applyNumberFormat="1" applyFont="1" applyBorder="1" applyAlignment="1">
      <alignment horizontal="center" vertical="center"/>
    </xf>
    <xf numFmtId="0" fontId="44" fillId="72" borderId="71" xfId="0" applyFont="1" applyFill="1" applyBorder="1" applyAlignment="1">
      <alignment horizontal="left" vertical="center" indent="1"/>
    </xf>
    <xf numFmtId="0" fontId="16" fillId="72" borderId="21" xfId="0" applyFont="1" applyFill="1" applyBorder="1" applyAlignment="1">
      <alignment vertical="center"/>
    </xf>
    <xf numFmtId="0" fontId="16" fillId="72" borderId="21" xfId="0" applyFont="1" applyFill="1" applyBorder="1" applyAlignment="1">
      <alignment horizontal="center" vertical="center" wrapText="1"/>
    </xf>
    <xf numFmtId="0" fontId="16" fillId="72" borderId="21" xfId="0" applyFont="1" applyFill="1" applyBorder="1" applyAlignment="1">
      <alignment horizontal="center" vertical="center"/>
    </xf>
    <xf numFmtId="0" fontId="44" fillId="74" borderId="21" xfId="0" applyFont="1" applyFill="1" applyBorder="1" applyAlignment="1">
      <alignment horizontal="center" vertical="center" wrapText="1"/>
    </xf>
    <xf numFmtId="0" fontId="16" fillId="65" borderId="21" xfId="0" applyFont="1" applyFill="1" applyBorder="1" applyAlignment="1">
      <alignment horizontal="left" vertical="center" wrapText="1" indent="1"/>
    </xf>
    <xf numFmtId="203" fontId="44" fillId="74" borderId="21" xfId="0" applyNumberFormat="1" applyFont="1" applyFill="1" applyBorder="1" applyAlignment="1">
      <alignment horizontal="center" vertical="center" wrapText="1"/>
    </xf>
    <xf numFmtId="0" fontId="16" fillId="72" borderId="72" xfId="0" applyFont="1" applyFill="1" applyBorder="1" applyAlignment="1">
      <alignment horizontal="center" vertical="center" wrapText="1"/>
    </xf>
    <xf numFmtId="0" fontId="143" fillId="70" borderId="52" xfId="0" applyFont="1" applyFill="1" applyBorder="1" applyAlignment="1" applyProtection="1">
      <alignment horizontal="left" vertical="center" indent="1"/>
      <protection locked="0"/>
    </xf>
    <xf numFmtId="0" fontId="0" fillId="70" borderId="0" xfId="0" applyFill="1" applyProtection="1">
      <protection locked="0"/>
    </xf>
    <xf numFmtId="0" fontId="4" fillId="70" borderId="52" xfId="1321" applyFill="1" applyBorder="1" applyAlignment="1" applyProtection="1">
      <alignment horizontal="right"/>
      <protection locked="0"/>
    </xf>
    <xf numFmtId="0" fontId="124" fillId="70" borderId="52" xfId="0" applyFont="1" applyFill="1" applyBorder="1" applyAlignment="1" applyProtection="1">
      <alignment horizontal="right"/>
      <protection locked="0"/>
    </xf>
    <xf numFmtId="0" fontId="122" fillId="70" borderId="52" xfId="0" applyFont="1" applyFill="1" applyBorder="1" applyAlignment="1" applyProtection="1">
      <alignment horizontal="right"/>
      <protection locked="0"/>
    </xf>
    <xf numFmtId="0" fontId="122" fillId="70" borderId="57" xfId="0" applyFont="1" applyFill="1" applyBorder="1" applyAlignment="1" applyProtection="1">
      <alignment horizontal="right"/>
      <protection locked="0"/>
    </xf>
    <xf numFmtId="0" fontId="125" fillId="70" borderId="0" xfId="0" applyFont="1" applyFill="1" applyBorder="1" applyAlignment="1">
      <alignment vertical="center"/>
    </xf>
    <xf numFmtId="0" fontId="127" fillId="65" borderId="0" xfId="0" applyFont="1" applyFill="1" applyAlignment="1">
      <alignment horizontal="center"/>
    </xf>
    <xf numFmtId="0" fontId="174" fillId="78" borderId="37" xfId="0" applyFont="1" applyFill="1" applyBorder="1" applyAlignment="1">
      <alignment horizontal="center" vertical="center"/>
    </xf>
    <xf numFmtId="0" fontId="174" fillId="78" borderId="38" xfId="0" applyFont="1" applyFill="1" applyBorder="1" applyAlignment="1">
      <alignment horizontal="center" vertical="center"/>
    </xf>
    <xf numFmtId="172" fontId="161" fillId="78" borderId="29" xfId="0" applyNumberFormat="1" applyFont="1" applyFill="1" applyBorder="1" applyAlignment="1">
      <alignment horizontal="center" vertical="center"/>
    </xf>
    <xf numFmtId="0" fontId="166" fillId="0" borderId="46" xfId="0" applyFont="1" applyFill="1" applyBorder="1" applyAlignment="1">
      <alignment horizontal="left" vertical="center" indent="1"/>
    </xf>
    <xf numFmtId="0" fontId="167" fillId="0" borderId="46" xfId="0" applyFont="1" applyFill="1" applyBorder="1" applyAlignment="1">
      <alignment horizontal="left" vertical="center" indent="1"/>
    </xf>
    <xf numFmtId="204" fontId="164" fillId="75" borderId="29" xfId="0" applyNumberFormat="1" applyFont="1" applyFill="1" applyBorder="1" applyAlignment="1">
      <alignment horizontal="center" vertical="center"/>
    </xf>
    <xf numFmtId="172" fontId="159" fillId="71" borderId="29" xfId="1470" applyNumberFormat="1" applyFont="1" applyFill="1" applyBorder="1" applyAlignment="1">
      <alignment horizontal="right" vertical="center" indent="1"/>
    </xf>
    <xf numFmtId="172" fontId="159" fillId="71" borderId="29" xfId="0" applyNumberFormat="1" applyFont="1" applyFill="1" applyBorder="1" applyAlignment="1">
      <alignment horizontal="right" vertical="center" indent="1"/>
    </xf>
    <xf numFmtId="0" fontId="164" fillId="0" borderId="29" xfId="1469" applyNumberFormat="1" applyFont="1" applyBorder="1" applyAlignment="1">
      <alignment horizontal="center" vertical="center" wrapText="1"/>
    </xf>
    <xf numFmtId="0" fontId="164" fillId="0" borderId="29" xfId="0" applyFont="1" applyBorder="1" applyAlignment="1">
      <alignment horizontal="center" vertical="center"/>
    </xf>
    <xf numFmtId="0" fontId="157" fillId="71" borderId="46" xfId="0" applyFont="1" applyFill="1" applyBorder="1" applyAlignment="1">
      <alignment horizontal="left" vertical="center" wrapText="1" indent="1"/>
    </xf>
    <xf numFmtId="0" fontId="157" fillId="71" borderId="29" xfId="0" applyFont="1" applyFill="1" applyBorder="1" applyAlignment="1">
      <alignment horizontal="left" vertical="center" wrapText="1" indent="1"/>
    </xf>
    <xf numFmtId="0" fontId="157" fillId="71" borderId="47" xfId="0" applyFont="1" applyFill="1" applyBorder="1" applyAlignment="1">
      <alignment horizontal="left" vertical="center" wrapText="1" indent="1"/>
    </xf>
    <xf numFmtId="0" fontId="165" fillId="0" borderId="29" xfId="1469" applyNumberFormat="1" applyFont="1" applyFill="1" applyBorder="1" applyAlignment="1">
      <alignment horizontal="center" vertical="center" wrapText="1"/>
    </xf>
    <xf numFmtId="0" fontId="165" fillId="0" borderId="29" xfId="0" applyFont="1" applyFill="1" applyBorder="1" applyAlignment="1">
      <alignment horizontal="center" vertical="center"/>
    </xf>
    <xf numFmtId="0" fontId="159" fillId="0" borderId="29" xfId="1469" applyNumberFormat="1" applyFont="1" applyFill="1" applyBorder="1" applyAlignment="1">
      <alignment horizontal="center" vertical="center" wrapText="1"/>
    </xf>
    <xf numFmtId="0" fontId="165" fillId="0" borderId="29" xfId="1469" applyNumberFormat="1" applyFont="1" applyBorder="1" applyAlignment="1">
      <alignment horizontal="center" vertical="center" wrapText="1"/>
    </xf>
    <xf numFmtId="0" fontId="165" fillId="0" borderId="29" xfId="0" applyFont="1" applyBorder="1" applyAlignment="1">
      <alignment horizontal="center" vertical="center"/>
    </xf>
    <xf numFmtId="0" fontId="157" fillId="65" borderId="29" xfId="0" applyFont="1" applyFill="1" applyBorder="1" applyAlignment="1">
      <alignment horizontal="center" vertical="center"/>
    </xf>
    <xf numFmtId="170" fontId="165" fillId="0" borderId="29" xfId="0" applyNumberFormat="1" applyFont="1" applyBorder="1" applyAlignment="1">
      <alignment horizontal="center" vertical="center"/>
    </xf>
    <xf numFmtId="0" fontId="157" fillId="0" borderId="29" xfId="0" applyFont="1" applyFill="1" applyBorder="1" applyAlignment="1">
      <alignment horizontal="center" vertical="center" wrapText="1"/>
    </xf>
    <xf numFmtId="0" fontId="157" fillId="0" borderId="29" xfId="0" applyFont="1" applyBorder="1" applyAlignment="1">
      <alignment horizontal="center" vertical="center" wrapText="1"/>
    </xf>
    <xf numFmtId="0" fontId="157" fillId="0" borderId="29" xfId="0" applyFont="1" applyBorder="1" applyAlignment="1">
      <alignment horizontal="center" vertical="center"/>
    </xf>
    <xf numFmtId="172" fontId="161" fillId="78" borderId="29" xfId="0" applyNumberFormat="1" applyFont="1" applyFill="1" applyBorder="1" applyAlignment="1">
      <alignment horizontal="right" vertical="center" indent="1"/>
    </xf>
    <xf numFmtId="0" fontId="159" fillId="71" borderId="29" xfId="0" applyFont="1" applyFill="1" applyBorder="1" applyAlignment="1">
      <alignment horizontal="center" vertical="center" wrapText="1"/>
    </xf>
    <xf numFmtId="0" fontId="186" fillId="65" borderId="52" xfId="0" applyFont="1" applyFill="1" applyBorder="1" applyAlignment="1">
      <alignment horizontal="left" vertical="center" indent="1"/>
    </xf>
    <xf numFmtId="0" fontId="186" fillId="65" borderId="0" xfId="0" applyFont="1" applyFill="1" applyBorder="1" applyAlignment="1">
      <alignment horizontal="left" vertical="center" indent="1"/>
    </xf>
    <xf numFmtId="0" fontId="186" fillId="65" borderId="53" xfId="0" applyFont="1" applyFill="1" applyBorder="1" applyAlignment="1">
      <alignment horizontal="left" vertical="center" indent="1"/>
    </xf>
    <xf numFmtId="0" fontId="164" fillId="0" borderId="29" xfId="1469" applyNumberFormat="1" applyFont="1" applyFill="1" applyBorder="1" applyAlignment="1">
      <alignment horizontal="center" vertical="center" wrapText="1"/>
    </xf>
    <xf numFmtId="0" fontId="159" fillId="0" borderId="29" xfId="1469" applyNumberFormat="1" applyFont="1" applyBorder="1" applyAlignment="1">
      <alignment horizontal="center" vertical="center" wrapText="1"/>
    </xf>
    <xf numFmtId="1" fontId="159" fillId="71" borderId="29" xfId="0" applyNumberFormat="1" applyFont="1" applyFill="1" applyBorder="1" applyAlignment="1">
      <alignment horizontal="center" vertical="center" wrapText="1"/>
    </xf>
    <xf numFmtId="0" fontId="159" fillId="71" borderId="35" xfId="0" applyFont="1" applyFill="1" applyBorder="1" applyAlignment="1">
      <alignment horizontal="center" vertical="center" wrapText="1"/>
    </xf>
    <xf numFmtId="171" fontId="161" fillId="78" borderId="29" xfId="1330" applyNumberFormat="1" applyFont="1" applyFill="1" applyBorder="1" applyAlignment="1">
      <alignment horizontal="center" vertical="center" wrapText="1"/>
    </xf>
    <xf numFmtId="171" fontId="161" fillId="78" borderId="35" xfId="1330" applyNumberFormat="1" applyFont="1" applyFill="1" applyBorder="1" applyAlignment="1">
      <alignment horizontal="center" vertical="center" wrapText="1"/>
    </xf>
    <xf numFmtId="9" fontId="159" fillId="71" borderId="29" xfId="1330" applyNumberFormat="1" applyFont="1" applyFill="1" applyBorder="1" applyAlignment="1">
      <alignment horizontal="center" vertical="center" wrapText="1"/>
    </xf>
    <xf numFmtId="9" fontId="159" fillId="71" borderId="35" xfId="1330" applyNumberFormat="1" applyFont="1" applyFill="1" applyBorder="1" applyAlignment="1">
      <alignment horizontal="center" vertical="center" wrapText="1"/>
    </xf>
    <xf numFmtId="49" fontId="159" fillId="75" borderId="29" xfId="1469" applyNumberFormat="1" applyFont="1" applyFill="1" applyBorder="1" applyAlignment="1">
      <alignment horizontal="center" vertical="center" wrapText="1"/>
    </xf>
    <xf numFmtId="0" fontId="159" fillId="75" borderId="35" xfId="0" applyFont="1" applyFill="1" applyBorder="1" applyAlignment="1">
      <alignment horizontal="center" vertical="center" wrapText="1"/>
    </xf>
    <xf numFmtId="0" fontId="164" fillId="0" borderId="29" xfId="1470" applyNumberFormat="1" applyFont="1" applyBorder="1" applyAlignment="1">
      <alignment horizontal="center" vertical="center" wrapText="1"/>
    </xf>
    <xf numFmtId="0" fontId="182" fillId="65" borderId="0" xfId="0" applyFont="1" applyFill="1" applyBorder="1" applyAlignment="1">
      <alignment horizontal="left" vertical="center" indent="1"/>
    </xf>
    <xf numFmtId="0" fontId="182" fillId="65" borderId="53" xfId="0" applyFont="1" applyFill="1" applyBorder="1" applyAlignment="1">
      <alignment horizontal="left" vertical="center" indent="1"/>
    </xf>
    <xf numFmtId="0" fontId="165" fillId="0" borderId="29" xfId="1470" applyNumberFormat="1" applyFont="1" applyBorder="1" applyAlignment="1">
      <alignment horizontal="center" vertical="center" wrapText="1"/>
    </xf>
    <xf numFmtId="0" fontId="182" fillId="65" borderId="52" xfId="0" applyFont="1" applyFill="1" applyBorder="1" applyAlignment="1">
      <alignment horizontal="left" vertical="center" indent="1"/>
    </xf>
    <xf numFmtId="0" fontId="155" fillId="71" borderId="0" xfId="0" applyFont="1" applyFill="1" applyBorder="1" applyAlignment="1">
      <alignment horizontal="right" vertical="center"/>
    </xf>
    <xf numFmtId="49" fontId="159" fillId="71" borderId="29" xfId="1469" applyNumberFormat="1" applyFont="1" applyFill="1" applyBorder="1" applyAlignment="1">
      <alignment horizontal="center" vertical="center" wrapText="1"/>
    </xf>
    <xf numFmtId="170" fontId="159" fillId="71" borderId="29" xfId="0" applyNumberFormat="1" applyFont="1" applyFill="1" applyBorder="1" applyAlignment="1">
      <alignment horizontal="center" vertical="center" wrapText="1"/>
    </xf>
    <xf numFmtId="171" fontId="159" fillId="71" borderId="29" xfId="1330" applyNumberFormat="1" applyFont="1" applyFill="1" applyBorder="1" applyAlignment="1">
      <alignment horizontal="center" vertical="center" wrapText="1"/>
    </xf>
    <xf numFmtId="171" fontId="159" fillId="71" borderId="35" xfId="1330" applyNumberFormat="1" applyFont="1" applyFill="1" applyBorder="1" applyAlignment="1">
      <alignment horizontal="center" vertical="center" wrapText="1"/>
    </xf>
    <xf numFmtId="0" fontId="159" fillId="71" borderId="29" xfId="0" applyFont="1" applyFill="1" applyBorder="1" applyAlignment="1">
      <alignment horizontal="center" vertical="center"/>
    </xf>
    <xf numFmtId="0" fontId="159" fillId="71" borderId="35" xfId="0" applyFont="1" applyFill="1" applyBorder="1" applyAlignment="1">
      <alignment horizontal="center" vertical="center"/>
    </xf>
    <xf numFmtId="49" fontId="159" fillId="71" borderId="29" xfId="1469" applyNumberFormat="1" applyFont="1" applyFill="1" applyBorder="1" applyAlignment="1">
      <alignment horizontal="center" vertical="center"/>
    </xf>
    <xf numFmtId="172" fontId="160" fillId="71" borderId="29" xfId="1330" applyNumberFormat="1" applyFont="1" applyFill="1" applyBorder="1" applyAlignment="1">
      <alignment horizontal="center" vertical="center" wrapText="1"/>
    </xf>
    <xf numFmtId="172" fontId="160" fillId="71" borderId="35" xfId="0" applyNumberFormat="1" applyFont="1" applyFill="1" applyBorder="1" applyAlignment="1">
      <alignment horizontal="center" vertical="center" wrapText="1"/>
    </xf>
    <xf numFmtId="1" fontId="159" fillId="71" borderId="29" xfId="1469" applyNumberFormat="1" applyFont="1" applyFill="1" applyBorder="1" applyAlignment="1">
      <alignment horizontal="center" vertical="center" wrapText="1"/>
    </xf>
    <xf numFmtId="1" fontId="159" fillId="71" borderId="35" xfId="1469" applyNumberFormat="1" applyFont="1" applyFill="1" applyBorder="1" applyAlignment="1">
      <alignment horizontal="center" vertical="center" wrapText="1"/>
    </xf>
    <xf numFmtId="0" fontId="157" fillId="71" borderId="46" xfId="0" applyFont="1" applyFill="1" applyBorder="1" applyAlignment="1">
      <alignment horizontal="left" vertical="center" indent="1"/>
    </xf>
    <xf numFmtId="0" fontId="157" fillId="71" borderId="29" xfId="0" applyFont="1" applyFill="1" applyBorder="1" applyAlignment="1">
      <alignment horizontal="left" vertical="center" indent="1"/>
    </xf>
    <xf numFmtId="0" fontId="157" fillId="71" borderId="47" xfId="0" applyFont="1" applyFill="1" applyBorder="1" applyAlignment="1">
      <alignment horizontal="left" vertical="center" indent="1"/>
    </xf>
    <xf numFmtId="0" fontId="159" fillId="71" borderId="31" xfId="0" applyFont="1" applyFill="1" applyBorder="1" applyAlignment="1">
      <alignment horizontal="center" vertical="center"/>
    </xf>
    <xf numFmtId="0" fontId="159" fillId="71" borderId="32" xfId="0" applyFont="1" applyFill="1" applyBorder="1" applyAlignment="1">
      <alignment horizontal="center" vertical="center"/>
    </xf>
    <xf numFmtId="0" fontId="159" fillId="71" borderId="33" xfId="0" applyFont="1" applyFill="1" applyBorder="1" applyAlignment="1">
      <alignment horizontal="center" vertical="center"/>
    </xf>
    <xf numFmtId="0" fontId="122" fillId="65" borderId="57" xfId="0" applyFont="1" applyFill="1" applyBorder="1" applyAlignment="1" applyProtection="1">
      <alignment horizontal="right"/>
      <protection locked="0"/>
    </xf>
    <xf numFmtId="0" fontId="122" fillId="65" borderId="58" xfId="0" applyFont="1" applyFill="1" applyBorder="1" applyAlignment="1" applyProtection="1">
      <alignment horizontal="right"/>
      <protection locked="0"/>
    </xf>
    <xf numFmtId="0" fontId="122" fillId="65" borderId="59" xfId="0" applyFont="1" applyFill="1" applyBorder="1" applyAlignment="1" applyProtection="1">
      <alignment horizontal="right"/>
      <protection locked="0"/>
    </xf>
    <xf numFmtId="0" fontId="122" fillId="65" borderId="52" xfId="0" applyFont="1" applyFill="1" applyBorder="1" applyAlignment="1" applyProtection="1">
      <alignment horizontal="right"/>
      <protection locked="0"/>
    </xf>
    <xf numFmtId="0" fontId="122" fillId="70" borderId="0" xfId="0" applyFont="1" applyFill="1" applyBorder="1" applyAlignment="1" applyProtection="1">
      <alignment horizontal="right"/>
      <protection locked="0"/>
    </xf>
    <xf numFmtId="0" fontId="122" fillId="65" borderId="53" xfId="0" applyFont="1" applyFill="1" applyBorder="1" applyAlignment="1" applyProtection="1">
      <alignment horizontal="right"/>
      <protection locked="0"/>
    </xf>
    <xf numFmtId="0" fontId="124" fillId="0" borderId="52" xfId="0" applyFont="1" applyBorder="1" applyAlignment="1" applyProtection="1">
      <alignment horizontal="right"/>
      <protection locked="0"/>
    </xf>
    <xf numFmtId="0" fontId="124" fillId="0" borderId="0" xfId="0" applyFont="1" applyBorder="1" applyAlignment="1" applyProtection="1">
      <alignment horizontal="right"/>
      <protection locked="0"/>
    </xf>
    <xf numFmtId="0" fontId="124" fillId="0" borderId="53" xfId="0" applyFont="1" applyBorder="1" applyAlignment="1" applyProtection="1">
      <alignment horizontal="right"/>
      <protection locked="0"/>
    </xf>
    <xf numFmtId="0" fontId="104" fillId="65" borderId="52" xfId="1321" applyFont="1" applyFill="1" applyBorder="1" applyAlignment="1" applyProtection="1">
      <alignment horizontal="right"/>
      <protection locked="0"/>
    </xf>
    <xf numFmtId="0" fontId="104" fillId="65" borderId="0" xfId="1321" applyFont="1" applyFill="1" applyBorder="1" applyAlignment="1" applyProtection="1">
      <alignment horizontal="right"/>
      <protection locked="0"/>
    </xf>
    <xf numFmtId="0" fontId="104" fillId="65" borderId="53" xfId="1321" applyFont="1" applyFill="1" applyBorder="1" applyAlignment="1" applyProtection="1">
      <alignment horizontal="right"/>
      <protection locked="0"/>
    </xf>
    <xf numFmtId="0" fontId="4" fillId="65" borderId="52" xfId="1321" applyFill="1" applyBorder="1" applyAlignment="1" applyProtection="1">
      <alignment horizontal="right"/>
      <protection locked="0"/>
    </xf>
    <xf numFmtId="0" fontId="129" fillId="65" borderId="0" xfId="1321" applyFont="1" applyFill="1" applyBorder="1" applyAlignment="1" applyProtection="1">
      <alignment horizontal="right"/>
      <protection locked="0"/>
    </xf>
    <xf numFmtId="0" fontId="129" fillId="65" borderId="53" xfId="1321" applyFont="1" applyFill="1" applyBorder="1" applyAlignment="1" applyProtection="1">
      <alignment horizontal="right"/>
      <protection locked="0"/>
    </xf>
    <xf numFmtId="0" fontId="186" fillId="65" borderId="48" xfId="0" applyFont="1" applyFill="1" applyBorder="1" applyAlignment="1">
      <alignment horizontal="left" vertical="center" indent="1"/>
    </xf>
    <xf numFmtId="0" fontId="186" fillId="65" borderId="30" xfId="0" applyFont="1" applyFill="1" applyBorder="1" applyAlignment="1">
      <alignment horizontal="left" vertical="center" indent="1"/>
    </xf>
    <xf numFmtId="0" fontId="186" fillId="65" borderId="49" xfId="0" applyFont="1" applyFill="1" applyBorder="1" applyAlignment="1">
      <alignment horizontal="left" vertical="center" indent="1"/>
    </xf>
    <xf numFmtId="0" fontId="157" fillId="71" borderId="44" xfId="0" applyFont="1" applyFill="1" applyBorder="1" applyAlignment="1">
      <alignment horizontal="left" vertical="center" wrapText="1" indent="1"/>
    </xf>
    <xf numFmtId="0" fontId="157" fillId="71" borderId="32" xfId="0" applyFont="1" applyFill="1" applyBorder="1" applyAlignment="1">
      <alignment horizontal="left" vertical="center" wrapText="1" indent="1"/>
    </xf>
    <xf numFmtId="0" fontId="157" fillId="71" borderId="45" xfId="0" applyFont="1" applyFill="1" applyBorder="1" applyAlignment="1">
      <alignment horizontal="left" vertical="center" wrapText="1" indent="1"/>
    </xf>
    <xf numFmtId="0" fontId="182" fillId="65" borderId="54" xfId="0" applyFont="1" applyFill="1" applyBorder="1" applyAlignment="1">
      <alignment horizontal="left" vertical="center" indent="1"/>
    </xf>
    <xf numFmtId="0" fontId="182" fillId="65" borderId="21" xfId="0" applyFont="1" applyFill="1" applyBorder="1" applyAlignment="1">
      <alignment horizontal="left" vertical="center" indent="1"/>
    </xf>
    <xf numFmtId="0" fontId="182" fillId="65" borderId="55" xfId="0" applyFont="1" applyFill="1" applyBorder="1" applyAlignment="1">
      <alignment horizontal="left" vertical="center" indent="1"/>
    </xf>
    <xf numFmtId="0" fontId="162" fillId="66" borderId="44" xfId="0" applyFont="1" applyFill="1" applyBorder="1" applyAlignment="1">
      <alignment horizontal="left" vertical="center"/>
    </xf>
    <xf numFmtId="0" fontId="162" fillId="66" borderId="32" xfId="0" applyFont="1" applyFill="1" applyBorder="1" applyAlignment="1">
      <alignment horizontal="left" vertical="center"/>
    </xf>
    <xf numFmtId="0" fontId="162" fillId="66" borderId="45" xfId="0" applyFont="1" applyFill="1" applyBorder="1" applyAlignment="1">
      <alignment horizontal="left" vertical="center"/>
    </xf>
    <xf numFmtId="0" fontId="162" fillId="66" borderId="46" xfId="0" applyFont="1" applyFill="1" applyBorder="1" applyAlignment="1">
      <alignment horizontal="left" vertical="center" indent="1"/>
    </xf>
    <xf numFmtId="0" fontId="162" fillId="66" borderId="29" xfId="0" applyFont="1" applyFill="1" applyBorder="1" applyAlignment="1">
      <alignment horizontal="left" vertical="center" indent="1"/>
    </xf>
    <xf numFmtId="0" fontId="162" fillId="66" borderId="50" xfId="0" applyFont="1" applyFill="1" applyBorder="1" applyAlignment="1">
      <alignment horizontal="left" vertical="center" indent="1"/>
    </xf>
    <xf numFmtId="0" fontId="162" fillId="66" borderId="20" xfId="0" applyFont="1" applyFill="1" applyBorder="1" applyAlignment="1">
      <alignment horizontal="left" vertical="center" indent="1"/>
    </xf>
    <xf numFmtId="172" fontId="159" fillId="71" borderId="29" xfId="1687" applyNumberFormat="1" applyFont="1" applyFill="1" applyBorder="1" applyAlignment="1">
      <alignment horizontal="right" vertical="center" indent="1"/>
    </xf>
    <xf numFmtId="0" fontId="162" fillId="66" borderId="26" xfId="0" applyFont="1" applyFill="1" applyBorder="1" applyAlignment="1">
      <alignment horizontal="left" vertical="center" indent="1"/>
    </xf>
    <xf numFmtId="0" fontId="162" fillId="66" borderId="51" xfId="0" applyFont="1" applyFill="1" applyBorder="1" applyAlignment="1">
      <alignment horizontal="left" vertical="center" indent="1"/>
    </xf>
    <xf numFmtId="0" fontId="157" fillId="71" borderId="44" xfId="0" applyFont="1" applyFill="1" applyBorder="1" applyAlignment="1">
      <alignment horizontal="left" vertical="center"/>
    </xf>
    <xf numFmtId="0" fontId="157" fillId="71" borderId="32" xfId="0" applyFont="1" applyFill="1" applyBorder="1" applyAlignment="1">
      <alignment horizontal="left" vertical="center"/>
    </xf>
    <xf numFmtId="0" fontId="162" fillId="70" borderId="0" xfId="0" applyFont="1" applyFill="1" applyBorder="1" applyAlignment="1">
      <alignment horizontal="center" vertical="center"/>
    </xf>
    <xf numFmtId="0" fontId="162" fillId="70" borderId="53" xfId="0" applyFont="1" applyFill="1" applyBorder="1" applyAlignment="1">
      <alignment horizontal="center" vertical="center"/>
    </xf>
    <xf numFmtId="0" fontId="157" fillId="70" borderId="0" xfId="0" applyFont="1" applyFill="1" applyBorder="1" applyAlignment="1">
      <alignment horizontal="center" vertical="center"/>
    </xf>
    <xf numFmtId="0" fontId="157" fillId="70" borderId="53" xfId="0" applyFont="1" applyFill="1" applyBorder="1" applyAlignment="1">
      <alignment horizontal="center" vertical="center"/>
    </xf>
    <xf numFmtId="0" fontId="186" fillId="65" borderId="40" xfId="0" applyFont="1" applyFill="1" applyBorder="1" applyAlignment="1">
      <alignment horizontal="left" vertical="center" indent="1"/>
    </xf>
    <xf numFmtId="0" fontId="186" fillId="65" borderId="41" xfId="0" applyFont="1" applyFill="1" applyBorder="1" applyAlignment="1">
      <alignment horizontal="left" vertical="center" indent="1"/>
    </xf>
    <xf numFmtId="0" fontId="186" fillId="65" borderId="42" xfId="0" applyFont="1" applyFill="1" applyBorder="1" applyAlignment="1">
      <alignment horizontal="left" vertical="center" indent="1"/>
    </xf>
    <xf numFmtId="172" fontId="164" fillId="71" borderId="29" xfId="1469" applyNumberFormat="1" applyFont="1" applyFill="1" applyBorder="1" applyAlignment="1">
      <alignment horizontal="right" vertical="center" indent="1"/>
    </xf>
    <xf numFmtId="0" fontId="157" fillId="0" borderId="29" xfId="1469" applyNumberFormat="1" applyFont="1" applyBorder="1" applyAlignment="1">
      <alignment horizontal="center" vertical="center" wrapText="1"/>
    </xf>
    <xf numFmtId="0" fontId="157" fillId="0" borderId="29" xfId="1469" applyNumberFormat="1" applyFont="1" applyFill="1" applyBorder="1" applyAlignment="1">
      <alignment horizontal="center" vertical="center" wrapText="1"/>
    </xf>
    <xf numFmtId="0" fontId="159" fillId="71" borderId="46" xfId="0" applyFont="1" applyFill="1" applyBorder="1" applyAlignment="1">
      <alignment horizontal="center" vertical="center"/>
    </xf>
    <xf numFmtId="1" fontId="159" fillId="71" borderId="47" xfId="0" applyNumberFormat="1" applyFont="1" applyFill="1" applyBorder="1" applyAlignment="1">
      <alignment horizontal="center" vertical="center" wrapText="1"/>
    </xf>
    <xf numFmtId="172" fontId="159" fillId="75" borderId="29" xfId="1330" applyNumberFormat="1" applyFont="1" applyFill="1" applyBorder="1" applyAlignment="1">
      <alignment horizontal="center" vertical="center" wrapText="1"/>
    </xf>
    <xf numFmtId="0" fontId="122" fillId="70" borderId="57" xfId="0" applyFont="1" applyFill="1" applyBorder="1" applyAlignment="1">
      <alignment horizontal="right"/>
    </xf>
    <xf numFmtId="0" fontId="122" fillId="70" borderId="58" xfId="0" applyFont="1" applyFill="1" applyBorder="1" applyAlignment="1">
      <alignment horizontal="right"/>
    </xf>
    <xf numFmtId="0" fontId="122" fillId="70" borderId="59" xfId="0" applyFont="1" applyFill="1" applyBorder="1" applyAlignment="1">
      <alignment horizontal="right"/>
    </xf>
    <xf numFmtId="0" fontId="129" fillId="70" borderId="52" xfId="1321" applyFont="1" applyFill="1" applyBorder="1" applyAlignment="1" applyProtection="1">
      <alignment horizontal="right"/>
    </xf>
    <xf numFmtId="0" fontId="129" fillId="70" borderId="0" xfId="1321" applyFont="1" applyFill="1" applyBorder="1" applyAlignment="1" applyProtection="1">
      <alignment horizontal="right"/>
    </xf>
    <xf numFmtId="0" fontId="129" fillId="70" borderId="53" xfId="1321" applyFont="1" applyFill="1" applyBorder="1" applyAlignment="1" applyProtection="1">
      <alignment horizontal="right"/>
    </xf>
    <xf numFmtId="0" fontId="104" fillId="70" borderId="52" xfId="1321" applyFont="1" applyFill="1" applyBorder="1" applyAlignment="1" applyProtection="1">
      <alignment horizontal="right"/>
    </xf>
    <xf numFmtId="0" fontId="104" fillId="70" borderId="0" xfId="1321" applyFont="1" applyFill="1" applyBorder="1" applyAlignment="1" applyProtection="1">
      <alignment horizontal="right"/>
    </xf>
    <xf numFmtId="0" fontId="104" fillId="70" borderId="53" xfId="1321" applyFont="1" applyFill="1" applyBorder="1" applyAlignment="1" applyProtection="1">
      <alignment horizontal="right"/>
    </xf>
    <xf numFmtId="0" fontId="124" fillId="70" borderId="52" xfId="0" applyFont="1" applyFill="1" applyBorder="1" applyAlignment="1">
      <alignment horizontal="right"/>
    </xf>
    <xf numFmtId="0" fontId="124" fillId="70" borderId="0" xfId="0" applyFont="1" applyFill="1" applyBorder="1" applyAlignment="1">
      <alignment horizontal="right"/>
    </xf>
    <xf numFmtId="0" fontId="124" fillId="70" borderId="53" xfId="0" applyFont="1" applyFill="1" applyBorder="1" applyAlignment="1">
      <alignment horizontal="right"/>
    </xf>
    <xf numFmtId="0" fontId="122" fillId="70" borderId="52" xfId="0" applyFont="1" applyFill="1" applyBorder="1" applyAlignment="1">
      <alignment horizontal="right"/>
    </xf>
    <xf numFmtId="0" fontId="122" fillId="70" borderId="0" xfId="0" applyFont="1" applyFill="1" applyBorder="1" applyAlignment="1">
      <alignment horizontal="right"/>
    </xf>
    <xf numFmtId="0" fontId="122" fillId="70" borderId="53" xfId="0" applyFont="1" applyFill="1" applyBorder="1" applyAlignment="1">
      <alignment horizontal="right"/>
    </xf>
    <xf numFmtId="0" fontId="162" fillId="66" borderId="52" xfId="0" applyFont="1" applyFill="1" applyBorder="1" applyAlignment="1">
      <alignment horizontal="left" vertical="center" indent="1"/>
    </xf>
    <xf numFmtId="0" fontId="162" fillId="66" borderId="0" xfId="0" applyFont="1" applyFill="1" applyBorder="1" applyAlignment="1">
      <alignment horizontal="left" vertical="center" indent="1"/>
    </xf>
    <xf numFmtId="0" fontId="157" fillId="0" borderId="29" xfId="0" applyFont="1" applyFill="1" applyBorder="1" applyAlignment="1">
      <alignment horizontal="center" vertical="center"/>
    </xf>
    <xf numFmtId="0" fontId="157" fillId="0" borderId="35" xfId="1469" applyNumberFormat="1" applyFont="1" applyBorder="1" applyAlignment="1">
      <alignment horizontal="center" vertical="center" wrapText="1"/>
    </xf>
    <xf numFmtId="0" fontId="157" fillId="0" borderId="39" xfId="1469" applyNumberFormat="1" applyFont="1" applyBorder="1" applyAlignment="1">
      <alignment horizontal="center" vertical="center" wrapText="1"/>
    </xf>
    <xf numFmtId="0" fontId="157" fillId="0" borderId="34" xfId="1469" applyNumberFormat="1" applyFont="1" applyBorder="1" applyAlignment="1">
      <alignment horizontal="center" vertical="center" wrapText="1"/>
    </xf>
    <xf numFmtId="0" fontId="164" fillId="0" borderId="35" xfId="1469" applyNumberFormat="1" applyFont="1" applyBorder="1" applyAlignment="1">
      <alignment horizontal="center" vertical="center" wrapText="1"/>
    </xf>
    <xf numFmtId="0" fontId="164" fillId="0" borderId="39" xfId="1469" applyNumberFormat="1" applyFont="1" applyBorder="1" applyAlignment="1">
      <alignment horizontal="center" vertical="center" wrapText="1"/>
    </xf>
    <xf numFmtId="0" fontId="164" fillId="0" borderId="34" xfId="1469" applyNumberFormat="1" applyFont="1" applyBorder="1" applyAlignment="1">
      <alignment horizontal="center" vertical="center" wrapText="1"/>
    </xf>
    <xf numFmtId="0" fontId="166" fillId="70" borderId="46" xfId="0" applyFont="1" applyFill="1" applyBorder="1" applyAlignment="1">
      <alignment horizontal="left" vertical="center" indent="1"/>
    </xf>
    <xf numFmtId="0" fontId="164" fillId="0" borderId="29" xfId="0" applyFont="1" applyFill="1" applyBorder="1" applyAlignment="1">
      <alignment horizontal="center" vertical="center"/>
    </xf>
    <xf numFmtId="172" fontId="164" fillId="71" borderId="29" xfId="1469" applyNumberFormat="1" applyFont="1" applyFill="1" applyBorder="1" applyAlignment="1">
      <alignment horizontal="center" vertical="center"/>
    </xf>
    <xf numFmtId="172" fontId="164" fillId="71" borderId="29" xfId="0" applyNumberFormat="1" applyFont="1" applyFill="1" applyBorder="1" applyAlignment="1">
      <alignment horizontal="center" vertical="center"/>
    </xf>
    <xf numFmtId="0" fontId="167" fillId="70" borderId="46" xfId="0" applyFont="1" applyFill="1" applyBorder="1" applyAlignment="1">
      <alignment horizontal="left" vertical="center" indent="1"/>
    </xf>
    <xf numFmtId="0" fontId="166" fillId="70" borderId="46" xfId="0" applyFont="1" applyFill="1" applyBorder="1" applyAlignment="1">
      <alignment horizontal="left" vertical="center"/>
    </xf>
    <xf numFmtId="0" fontId="159" fillId="0" borderId="29" xfId="0" applyFont="1" applyBorder="1" applyAlignment="1">
      <alignment horizontal="center" vertical="center"/>
    </xf>
    <xf numFmtId="0" fontId="159" fillId="0" borderId="29" xfId="0" applyFont="1" applyFill="1" applyBorder="1" applyAlignment="1">
      <alignment horizontal="center" vertical="center"/>
    </xf>
    <xf numFmtId="0" fontId="175" fillId="66" borderId="46" xfId="0" applyFont="1" applyFill="1" applyBorder="1" applyAlignment="1">
      <alignment horizontal="left" vertical="center" indent="1"/>
    </xf>
    <xf numFmtId="0" fontId="175" fillId="66" borderId="29" xfId="0" applyFont="1" applyFill="1" applyBorder="1" applyAlignment="1">
      <alignment horizontal="left" vertical="center" indent="1"/>
    </xf>
    <xf numFmtId="204" fontId="164" fillId="75" borderId="35" xfId="0" applyNumberFormat="1" applyFont="1" applyFill="1" applyBorder="1" applyAlignment="1">
      <alignment horizontal="center" vertical="center"/>
    </xf>
    <xf numFmtId="204" fontId="164" fillId="75" borderId="34" xfId="0" applyNumberFormat="1" applyFont="1" applyFill="1" applyBorder="1" applyAlignment="1">
      <alignment horizontal="center" vertical="center"/>
    </xf>
    <xf numFmtId="172" fontId="161" fillId="78" borderId="35" xfId="0" applyNumberFormat="1" applyFont="1" applyFill="1" applyBorder="1" applyAlignment="1">
      <alignment horizontal="right" vertical="center" indent="1"/>
    </xf>
    <xf numFmtId="172" fontId="161" fillId="78" borderId="34" xfId="0" applyNumberFormat="1" applyFont="1" applyFill="1" applyBorder="1" applyAlignment="1">
      <alignment horizontal="right" vertical="center" indent="1"/>
    </xf>
    <xf numFmtId="172" fontId="164" fillId="71" borderId="35" xfId="1469" applyNumberFormat="1" applyFont="1" applyFill="1" applyBorder="1" applyAlignment="1">
      <alignment horizontal="center" vertical="center"/>
    </xf>
    <xf numFmtId="172" fontId="164" fillId="71" borderId="34" xfId="1469" applyNumberFormat="1" applyFont="1" applyFill="1" applyBorder="1" applyAlignment="1">
      <alignment horizontal="center" vertical="center"/>
    </xf>
    <xf numFmtId="0" fontId="175" fillId="66" borderId="44" xfId="0" applyFont="1" applyFill="1" applyBorder="1" applyAlignment="1">
      <alignment horizontal="left" vertical="center" indent="1"/>
    </xf>
    <xf numFmtId="0" fontId="175" fillId="66" borderId="32" xfId="0" applyFont="1" applyFill="1" applyBorder="1" applyAlignment="1">
      <alignment horizontal="left" vertical="center" indent="1"/>
    </xf>
    <xf numFmtId="0" fontId="175" fillId="66" borderId="33" xfId="0" applyFont="1" applyFill="1" applyBorder="1" applyAlignment="1">
      <alignment horizontal="left" vertical="center" indent="1"/>
    </xf>
    <xf numFmtId="0" fontId="166" fillId="70" borderId="64" xfId="0" applyFont="1" applyFill="1" applyBorder="1" applyAlignment="1">
      <alignment horizontal="left" vertical="center" indent="1"/>
    </xf>
    <xf numFmtId="0" fontId="166" fillId="70" borderId="65" xfId="0" applyFont="1" applyFill="1" applyBorder="1" applyAlignment="1">
      <alignment horizontal="left" vertical="center" indent="1"/>
    </xf>
    <xf numFmtId="0" fontId="159" fillId="0" borderId="35" xfId="1469" applyNumberFormat="1" applyFont="1" applyFill="1" applyBorder="1" applyAlignment="1">
      <alignment horizontal="center" vertical="center" wrapText="1"/>
    </xf>
    <xf numFmtId="0" fontId="159" fillId="0" borderId="34" xfId="1469" applyNumberFormat="1" applyFont="1" applyFill="1" applyBorder="1" applyAlignment="1">
      <alignment horizontal="center" vertical="center" wrapText="1"/>
    </xf>
    <xf numFmtId="0" fontId="164" fillId="0" borderId="35" xfId="1469" applyNumberFormat="1" applyFont="1" applyFill="1" applyBorder="1" applyAlignment="1">
      <alignment horizontal="center" vertical="center" wrapText="1"/>
    </xf>
    <xf numFmtId="0" fontId="164" fillId="0" borderId="34" xfId="1469" applyNumberFormat="1" applyFont="1" applyFill="1" applyBorder="1" applyAlignment="1">
      <alignment horizontal="center" vertical="center" wrapText="1"/>
    </xf>
    <xf numFmtId="0" fontId="155" fillId="71" borderId="0" xfId="0" applyFont="1" applyFill="1" applyBorder="1" applyAlignment="1">
      <alignment horizontal="center" vertical="center"/>
    </xf>
    <xf numFmtId="0" fontId="155" fillId="71" borderId="25" xfId="0" applyFont="1" applyFill="1" applyBorder="1" applyAlignment="1">
      <alignment horizontal="center" vertical="center"/>
    </xf>
    <xf numFmtId="0" fontId="162" fillId="66" borderId="44" xfId="0" applyFont="1" applyFill="1" applyBorder="1" applyAlignment="1">
      <alignment horizontal="left" vertical="center" indent="1"/>
    </xf>
    <xf numFmtId="0" fontId="162" fillId="66" borderId="32" xfId="0" applyFont="1" applyFill="1" applyBorder="1" applyAlignment="1">
      <alignment horizontal="left" vertical="center" indent="1"/>
    </xf>
    <xf numFmtId="0" fontId="122" fillId="65" borderId="52" xfId="0" applyFont="1" applyFill="1" applyBorder="1" applyAlignment="1">
      <alignment horizontal="right"/>
    </xf>
    <xf numFmtId="0" fontId="122" fillId="65" borderId="53" xfId="0" applyFont="1" applyFill="1" applyBorder="1" applyAlignment="1">
      <alignment horizontal="right"/>
    </xf>
    <xf numFmtId="0" fontId="122" fillId="65" borderId="57" xfId="0" applyFont="1" applyFill="1" applyBorder="1" applyAlignment="1">
      <alignment horizontal="right"/>
    </xf>
    <xf numFmtId="0" fontId="122" fillId="65" borderId="58" xfId="0" applyFont="1" applyFill="1" applyBorder="1" applyAlignment="1">
      <alignment horizontal="right"/>
    </xf>
    <xf numFmtId="0" fontId="122" fillId="65" borderId="59" xfId="0" applyFont="1" applyFill="1" applyBorder="1" applyAlignment="1">
      <alignment horizontal="right"/>
    </xf>
    <xf numFmtId="0" fontId="129" fillId="65" borderId="52" xfId="1321" applyFont="1" applyFill="1" applyBorder="1" applyAlignment="1" applyProtection="1">
      <alignment horizontal="right"/>
    </xf>
    <xf numFmtId="0" fontId="129" fillId="65" borderId="0" xfId="1321" applyFont="1" applyFill="1" applyBorder="1" applyAlignment="1" applyProtection="1">
      <alignment horizontal="right"/>
    </xf>
    <xf numFmtId="0" fontId="129" fillId="65" borderId="53" xfId="1321" applyFont="1" applyFill="1" applyBorder="1" applyAlignment="1" applyProtection="1">
      <alignment horizontal="right"/>
    </xf>
    <xf numFmtId="0" fontId="104" fillId="65" borderId="52" xfId="1321" applyFont="1" applyFill="1" applyBorder="1" applyAlignment="1" applyProtection="1">
      <alignment horizontal="right"/>
    </xf>
    <xf numFmtId="0" fontId="104" fillId="65" borderId="0" xfId="1321" applyFont="1" applyFill="1" applyBorder="1" applyAlignment="1" applyProtection="1">
      <alignment horizontal="right"/>
    </xf>
    <xf numFmtId="0" fontId="104" fillId="65" borderId="53" xfId="1321" applyFont="1" applyFill="1" applyBorder="1" applyAlignment="1" applyProtection="1">
      <alignment horizontal="right"/>
    </xf>
    <xf numFmtId="0" fontId="124" fillId="0" borderId="52" xfId="0" applyFont="1" applyBorder="1" applyAlignment="1">
      <alignment horizontal="right"/>
    </xf>
    <xf numFmtId="0" fontId="124" fillId="0" borderId="0" xfId="0" applyFont="1" applyBorder="1" applyAlignment="1">
      <alignment horizontal="right"/>
    </xf>
    <xf numFmtId="0" fontId="124" fillId="0" borderId="53" xfId="0" applyFont="1" applyBorder="1" applyAlignment="1">
      <alignment horizontal="right"/>
    </xf>
    <xf numFmtId="169" fontId="159" fillId="0" borderId="29" xfId="1469" applyNumberFormat="1" applyFont="1" applyFill="1" applyBorder="1" applyAlignment="1">
      <alignment horizontal="center" vertical="center" wrapText="1"/>
    </xf>
    <xf numFmtId="169" fontId="159" fillId="0" borderId="29" xfId="0" applyNumberFormat="1" applyFont="1" applyFill="1" applyBorder="1" applyAlignment="1">
      <alignment horizontal="center" vertical="center"/>
    </xf>
    <xf numFmtId="0" fontId="175" fillId="66" borderId="52" xfId="0" applyFont="1" applyFill="1" applyBorder="1" applyAlignment="1">
      <alignment horizontal="left" vertical="center" indent="1"/>
    </xf>
    <xf numFmtId="0" fontId="175" fillId="66" borderId="0" xfId="0" applyFont="1" applyFill="1" applyBorder="1" applyAlignment="1">
      <alignment horizontal="left" vertical="center" indent="1"/>
    </xf>
    <xf numFmtId="0" fontId="166" fillId="0" borderId="46" xfId="0" applyFont="1" applyFill="1" applyBorder="1" applyAlignment="1">
      <alignment horizontal="left" vertical="center"/>
    </xf>
    <xf numFmtId="0" fontId="123" fillId="65" borderId="52" xfId="1321" applyFont="1" applyFill="1" applyBorder="1" applyAlignment="1" applyProtection="1">
      <alignment horizontal="right"/>
    </xf>
    <xf numFmtId="0" fontId="123" fillId="65" borderId="0" xfId="1321" applyFont="1" applyFill="1" applyBorder="1" applyAlignment="1" applyProtection="1">
      <alignment horizontal="right"/>
    </xf>
    <xf numFmtId="0" fontId="123" fillId="65" borderId="53" xfId="1321" applyFont="1" applyFill="1" applyBorder="1" applyAlignment="1" applyProtection="1">
      <alignment horizontal="right"/>
    </xf>
    <xf numFmtId="172" fontId="164" fillId="71" borderId="29" xfId="0" applyNumberFormat="1" applyFont="1" applyFill="1" applyBorder="1" applyAlignment="1">
      <alignment horizontal="right" vertical="center" indent="1"/>
    </xf>
    <xf numFmtId="170" fontId="159" fillId="73" borderId="29" xfId="0" applyNumberFormat="1" applyFont="1" applyFill="1" applyBorder="1" applyAlignment="1">
      <alignment horizontal="center" vertical="center" wrapText="1"/>
    </xf>
    <xf numFmtId="171" fontId="161" fillId="74" borderId="29" xfId="1330" applyNumberFormat="1" applyFont="1" applyFill="1" applyBorder="1" applyAlignment="1">
      <alignment horizontal="center" vertical="center" wrapText="1"/>
    </xf>
    <xf numFmtId="1" fontId="159" fillId="73" borderId="47" xfId="0" applyNumberFormat="1" applyFont="1" applyFill="1" applyBorder="1" applyAlignment="1">
      <alignment horizontal="center" vertical="center" wrapText="1"/>
    </xf>
    <xf numFmtId="0" fontId="157" fillId="0" borderId="31" xfId="0" applyFont="1" applyFill="1" applyBorder="1" applyAlignment="1">
      <alignment horizontal="center" vertical="center" wrapText="1"/>
    </xf>
    <xf numFmtId="0" fontId="157" fillId="0" borderId="32" xfId="0" applyFont="1" applyFill="1" applyBorder="1" applyAlignment="1">
      <alignment horizontal="center" vertical="center" wrapText="1"/>
    </xf>
    <xf numFmtId="0" fontId="157" fillId="0" borderId="33" xfId="0" applyFont="1" applyFill="1" applyBorder="1" applyAlignment="1">
      <alignment horizontal="center" vertical="center" wrapText="1"/>
    </xf>
    <xf numFmtId="0" fontId="162" fillId="66" borderId="45" xfId="0" applyFont="1" applyFill="1" applyBorder="1" applyAlignment="1">
      <alignment horizontal="left" vertical="center" indent="1"/>
    </xf>
    <xf numFmtId="0" fontId="122" fillId="65" borderId="0" xfId="0" applyFont="1" applyFill="1" applyBorder="1" applyAlignment="1">
      <alignment horizontal="right"/>
    </xf>
    <xf numFmtId="169" fontId="164" fillId="0" borderId="35" xfId="1469" applyNumberFormat="1" applyFont="1" applyFill="1" applyBorder="1" applyAlignment="1">
      <alignment horizontal="center" vertical="center" wrapText="1"/>
    </xf>
    <xf numFmtId="169" fontId="164" fillId="0" borderId="34" xfId="1469" applyNumberFormat="1" applyFont="1" applyFill="1" applyBorder="1" applyAlignment="1">
      <alignment horizontal="center" vertical="center" wrapText="1"/>
    </xf>
    <xf numFmtId="0" fontId="157" fillId="0" borderId="35" xfId="0" applyFont="1" applyBorder="1" applyAlignment="1">
      <alignment horizontal="center" vertical="center" wrapText="1"/>
    </xf>
    <xf numFmtId="0" fontId="157" fillId="0" borderId="39" xfId="0" applyFont="1" applyBorder="1" applyAlignment="1">
      <alignment horizontal="center" vertical="center" wrapText="1"/>
    </xf>
    <xf numFmtId="0" fontId="157" fillId="0" borderId="34" xfId="0" applyFont="1" applyBorder="1" applyAlignment="1">
      <alignment horizontal="center" vertical="center" wrapText="1"/>
    </xf>
    <xf numFmtId="172" fontId="164" fillId="71" borderId="35" xfId="1469" applyNumberFormat="1" applyFont="1" applyFill="1" applyBorder="1" applyAlignment="1">
      <alignment horizontal="right" vertical="center" indent="1"/>
    </xf>
    <xf numFmtId="172" fontId="164" fillId="71" borderId="34" xfId="1469" applyNumberFormat="1" applyFont="1" applyFill="1" applyBorder="1" applyAlignment="1">
      <alignment horizontal="right" vertical="center" indent="1"/>
    </xf>
    <xf numFmtId="0" fontId="123" fillId="71" borderId="0" xfId="1321" applyFont="1" applyFill="1" applyBorder="1" applyAlignment="1" applyProtection="1">
      <alignment horizontal="right"/>
    </xf>
    <xf numFmtId="49" fontId="157" fillId="65" borderId="31" xfId="0" applyNumberFormat="1" applyFont="1" applyFill="1" applyBorder="1" applyAlignment="1">
      <alignment horizontal="left" vertical="center" wrapText="1"/>
    </xf>
    <xf numFmtId="49" fontId="157" fillId="65" borderId="32" xfId="0" applyNumberFormat="1" applyFont="1" applyFill="1" applyBorder="1" applyAlignment="1">
      <alignment horizontal="left" vertical="center" wrapText="1"/>
    </xf>
    <xf numFmtId="49" fontId="157" fillId="65" borderId="33" xfId="0" applyNumberFormat="1" applyFont="1" applyFill="1" applyBorder="1" applyAlignment="1">
      <alignment horizontal="left" vertical="center" wrapText="1"/>
    </xf>
    <xf numFmtId="0" fontId="145" fillId="77" borderId="0" xfId="0" applyFont="1" applyFill="1" applyBorder="1" applyAlignment="1">
      <alignment horizontal="right"/>
    </xf>
    <xf numFmtId="170" fontId="159" fillId="71" borderId="35" xfId="0" applyNumberFormat="1" applyFont="1" applyFill="1" applyBorder="1" applyAlignment="1">
      <alignment horizontal="center" vertical="center" wrapText="1"/>
    </xf>
    <xf numFmtId="170" fontId="159" fillId="71" borderId="39" xfId="0" applyNumberFormat="1" applyFont="1" applyFill="1" applyBorder="1" applyAlignment="1">
      <alignment horizontal="center" vertical="center" wrapText="1"/>
    </xf>
    <xf numFmtId="170" fontId="159" fillId="71" borderId="34" xfId="0" applyNumberFormat="1" applyFont="1" applyFill="1" applyBorder="1" applyAlignment="1">
      <alignment horizontal="center" vertical="center" wrapText="1"/>
    </xf>
    <xf numFmtId="0" fontId="155" fillId="71" borderId="22" xfId="0" applyFont="1" applyFill="1" applyBorder="1" applyAlignment="1">
      <alignment horizontal="right" vertical="center"/>
    </xf>
    <xf numFmtId="0" fontId="155" fillId="71" borderId="25" xfId="0" applyFont="1" applyFill="1" applyBorder="1" applyAlignment="1">
      <alignment horizontal="right" vertical="center"/>
    </xf>
    <xf numFmtId="0" fontId="155" fillId="71" borderId="22" xfId="0" applyFont="1" applyFill="1" applyBorder="1" applyAlignment="1">
      <alignment horizontal="center" vertical="center"/>
    </xf>
    <xf numFmtId="172" fontId="160" fillId="71" borderId="35" xfId="1330" applyNumberFormat="1" applyFont="1" applyFill="1" applyBorder="1" applyAlignment="1">
      <alignment horizontal="center" vertical="center" wrapText="1"/>
    </xf>
    <xf numFmtId="172" fontId="160" fillId="71" borderId="39" xfId="1330" applyNumberFormat="1" applyFont="1" applyFill="1" applyBorder="1" applyAlignment="1">
      <alignment horizontal="center" vertical="center" wrapText="1"/>
    </xf>
    <xf numFmtId="172" fontId="160" fillId="71" borderId="34" xfId="1330" applyNumberFormat="1" applyFont="1" applyFill="1" applyBorder="1" applyAlignment="1">
      <alignment horizontal="center" vertical="center" wrapText="1"/>
    </xf>
    <xf numFmtId="49" fontId="159" fillId="71" borderId="35" xfId="1469" applyNumberFormat="1" applyFont="1" applyFill="1" applyBorder="1" applyAlignment="1">
      <alignment horizontal="center" vertical="center" wrapText="1"/>
    </xf>
    <xf numFmtId="49" fontId="159" fillId="71" borderId="39" xfId="1469" applyNumberFormat="1" applyFont="1" applyFill="1" applyBorder="1" applyAlignment="1">
      <alignment horizontal="center" vertical="center" wrapText="1"/>
    </xf>
    <xf numFmtId="49" fontId="159" fillId="71" borderId="34" xfId="1469" applyNumberFormat="1" applyFont="1" applyFill="1" applyBorder="1" applyAlignment="1">
      <alignment horizontal="center" vertical="center" wrapText="1"/>
    </xf>
    <xf numFmtId="0" fontId="159" fillId="71" borderId="64" xfId="0" applyFont="1" applyFill="1" applyBorder="1" applyAlignment="1">
      <alignment horizontal="center" vertical="center"/>
    </xf>
    <xf numFmtId="0" fontId="159" fillId="71" borderId="67" xfId="0" applyFont="1" applyFill="1" applyBorder="1" applyAlignment="1">
      <alignment horizontal="center" vertical="center"/>
    </xf>
    <xf numFmtId="0" fontId="159" fillId="71" borderId="65" xfId="0" applyFont="1" applyFill="1" applyBorder="1" applyAlignment="1">
      <alignment horizontal="center" vertical="center"/>
    </xf>
    <xf numFmtId="49" fontId="159" fillId="71" borderId="35" xfId="1469" applyNumberFormat="1" applyFont="1" applyFill="1" applyBorder="1" applyAlignment="1">
      <alignment horizontal="center" vertical="center"/>
    </xf>
    <xf numFmtId="49" fontId="159" fillId="71" borderId="34" xfId="1469" applyNumberFormat="1" applyFont="1" applyFill="1" applyBorder="1" applyAlignment="1">
      <alignment horizontal="center" vertical="center"/>
    </xf>
    <xf numFmtId="9" fontId="159" fillId="65" borderId="30" xfId="0" applyNumberFormat="1" applyFont="1" applyFill="1" applyBorder="1" applyAlignment="1">
      <alignment horizontal="right" vertical="center" wrapText="1" indent="1"/>
    </xf>
    <xf numFmtId="9" fontId="159" fillId="65" borderId="49" xfId="0" applyNumberFormat="1" applyFont="1" applyFill="1" applyBorder="1" applyAlignment="1">
      <alignment horizontal="right" vertical="center" wrapText="1" indent="1"/>
    </xf>
    <xf numFmtId="1" fontId="159" fillId="71" borderId="66" xfId="0" applyNumberFormat="1" applyFont="1" applyFill="1" applyBorder="1" applyAlignment="1">
      <alignment horizontal="center" vertical="center" wrapText="1"/>
    </xf>
    <xf numFmtId="1" fontId="159" fillId="71" borderId="68" xfId="0" applyNumberFormat="1" applyFont="1" applyFill="1" applyBorder="1" applyAlignment="1">
      <alignment horizontal="center" vertical="center" wrapText="1"/>
    </xf>
    <xf numFmtId="1" fontId="159" fillId="71" borderId="56" xfId="0" applyNumberFormat="1" applyFont="1" applyFill="1" applyBorder="1" applyAlignment="1">
      <alignment horizontal="center" vertical="center" wrapText="1"/>
    </xf>
    <xf numFmtId="49" fontId="159" fillId="71" borderId="31" xfId="1469" applyNumberFormat="1" applyFont="1" applyFill="1" applyBorder="1" applyAlignment="1">
      <alignment horizontal="center" vertical="center"/>
    </xf>
    <xf numFmtId="49" fontId="159" fillId="71" borderId="33" xfId="1469" applyNumberFormat="1" applyFont="1" applyFill="1" applyBorder="1" applyAlignment="1">
      <alignment horizontal="center" vertical="center"/>
    </xf>
    <xf numFmtId="0" fontId="159" fillId="71" borderId="39" xfId="0" applyFont="1" applyFill="1" applyBorder="1" applyAlignment="1">
      <alignment horizontal="center" vertical="center" wrapText="1"/>
    </xf>
    <xf numFmtId="0" fontId="159" fillId="71" borderId="34" xfId="0" applyFont="1" applyFill="1" applyBorder="1" applyAlignment="1">
      <alignment horizontal="center" vertical="center" wrapText="1"/>
    </xf>
    <xf numFmtId="172" fontId="159" fillId="75" borderId="35" xfId="1330" applyNumberFormat="1" applyFont="1" applyFill="1" applyBorder="1" applyAlignment="1">
      <alignment horizontal="center" vertical="center" wrapText="1"/>
    </xf>
    <xf numFmtId="172" fontId="159" fillId="75" borderId="39" xfId="1330" applyNumberFormat="1" applyFont="1" applyFill="1" applyBorder="1" applyAlignment="1">
      <alignment horizontal="center" vertical="center" wrapText="1"/>
    </xf>
    <xf numFmtId="172" fontId="159" fillId="75" borderId="34" xfId="1330" applyNumberFormat="1" applyFont="1" applyFill="1" applyBorder="1" applyAlignment="1">
      <alignment horizontal="center" vertical="center" wrapText="1"/>
    </xf>
    <xf numFmtId="9" fontId="159" fillId="71" borderId="39" xfId="1330" applyNumberFormat="1" applyFont="1" applyFill="1" applyBorder="1" applyAlignment="1">
      <alignment horizontal="center" vertical="center" wrapText="1"/>
    </xf>
    <xf numFmtId="9" fontId="159" fillId="71" borderId="34" xfId="1330" applyNumberFormat="1" applyFont="1" applyFill="1" applyBorder="1" applyAlignment="1">
      <alignment horizontal="center" vertical="center" wrapText="1"/>
    </xf>
    <xf numFmtId="171" fontId="161" fillId="78" borderId="39" xfId="1330" applyNumberFormat="1" applyFont="1" applyFill="1" applyBorder="1" applyAlignment="1">
      <alignment horizontal="center" vertical="center" wrapText="1"/>
    </xf>
    <xf numFmtId="171" fontId="161" fillId="78" borderId="34" xfId="1330" applyNumberFormat="1" applyFont="1" applyFill="1" applyBorder="1" applyAlignment="1">
      <alignment horizontal="center" vertical="center" wrapText="1"/>
    </xf>
    <xf numFmtId="171" fontId="159" fillId="71" borderId="39" xfId="1330" applyNumberFormat="1" applyFont="1" applyFill="1" applyBorder="1" applyAlignment="1">
      <alignment horizontal="center" vertical="center" wrapText="1"/>
    </xf>
    <xf numFmtId="171" fontId="159" fillId="71" borderId="34" xfId="1330" applyNumberFormat="1" applyFont="1" applyFill="1" applyBorder="1" applyAlignment="1">
      <alignment horizontal="center" vertical="center" wrapText="1"/>
    </xf>
    <xf numFmtId="1" fontId="159" fillId="71" borderId="39" xfId="1469" applyNumberFormat="1" applyFont="1" applyFill="1" applyBorder="1" applyAlignment="1">
      <alignment horizontal="center" vertical="center" wrapText="1"/>
    </xf>
    <xf numFmtId="1" fontId="159" fillId="71" borderId="34" xfId="1469" applyNumberFormat="1" applyFont="1" applyFill="1" applyBorder="1" applyAlignment="1">
      <alignment horizontal="center" vertical="center" wrapText="1"/>
    </xf>
    <xf numFmtId="169" fontId="164" fillId="0" borderId="35" xfId="1469" applyNumberFormat="1" applyFont="1" applyBorder="1" applyAlignment="1">
      <alignment horizontal="center" vertical="center" wrapText="1"/>
    </xf>
    <xf numFmtId="169" fontId="164" fillId="0" borderId="34" xfId="1469" applyNumberFormat="1" applyFont="1" applyBorder="1" applyAlignment="1">
      <alignment horizontal="center" vertical="center" wrapText="1"/>
    </xf>
    <xf numFmtId="0" fontId="166" fillId="0" borderId="64" xfId="0" applyFont="1" applyFill="1" applyBorder="1" applyAlignment="1">
      <alignment horizontal="left" vertical="center" indent="1"/>
    </xf>
    <xf numFmtId="0" fontId="166" fillId="0" borderId="65" xfId="0" applyFont="1" applyFill="1" applyBorder="1" applyAlignment="1">
      <alignment horizontal="left" vertical="center" indent="1"/>
    </xf>
    <xf numFmtId="0" fontId="155" fillId="72" borderId="0" xfId="0" applyFont="1" applyFill="1" applyBorder="1" applyAlignment="1">
      <alignment horizontal="right" vertical="center"/>
    </xf>
    <xf numFmtId="172" fontId="160" fillId="71" borderId="29" xfId="0" applyNumberFormat="1" applyFont="1" applyFill="1" applyBorder="1" applyAlignment="1">
      <alignment horizontal="center" vertical="center" wrapText="1"/>
    </xf>
    <xf numFmtId="0" fontId="159" fillId="75" borderId="29" xfId="0" applyFont="1" applyFill="1" applyBorder="1" applyAlignment="1">
      <alignment horizontal="center" vertical="center" wrapText="1"/>
    </xf>
    <xf numFmtId="0" fontId="186" fillId="65" borderId="71" xfId="0" applyFont="1" applyFill="1" applyBorder="1" applyAlignment="1">
      <alignment horizontal="left" vertical="center" indent="1"/>
    </xf>
    <xf numFmtId="0" fontId="186" fillId="65" borderId="21" xfId="0" applyFont="1" applyFill="1" applyBorder="1" applyAlignment="1">
      <alignment horizontal="left" vertical="center" indent="1"/>
    </xf>
    <xf numFmtId="0" fontId="186" fillId="65" borderId="72" xfId="0" applyFont="1" applyFill="1" applyBorder="1" applyAlignment="1">
      <alignment horizontal="left" vertical="center" indent="1"/>
    </xf>
    <xf numFmtId="0" fontId="166" fillId="0" borderId="29" xfId="0" applyFont="1" applyFill="1" applyBorder="1" applyAlignment="1">
      <alignment horizontal="left" vertical="center" indent="1"/>
    </xf>
    <xf numFmtId="0" fontId="167" fillId="0" borderId="29" xfId="0" applyFont="1" applyFill="1" applyBorder="1" applyAlignment="1">
      <alignment horizontal="left" vertical="center" indent="1"/>
    </xf>
    <xf numFmtId="0" fontId="165" fillId="0" borderId="29" xfId="1687" applyNumberFormat="1" applyFont="1" applyBorder="1" applyAlignment="1">
      <alignment horizontal="center" vertical="center" wrapText="1"/>
    </xf>
    <xf numFmtId="0" fontId="164" fillId="0" borderId="29" xfId="1687" applyNumberFormat="1" applyFont="1" applyBorder="1" applyAlignment="1">
      <alignment horizontal="center" vertical="center" wrapText="1"/>
    </xf>
    <xf numFmtId="0" fontId="162" fillId="66" borderId="22" xfId="0" applyFont="1" applyFill="1" applyBorder="1" applyAlignment="1">
      <alignment horizontal="left" vertical="center" indent="1"/>
    </xf>
    <xf numFmtId="0" fontId="166" fillId="0" borderId="29" xfId="0" applyFont="1" applyFill="1" applyBorder="1" applyAlignment="1">
      <alignment horizontal="left" vertical="center"/>
    </xf>
    <xf numFmtId="0" fontId="175" fillId="66" borderId="22" xfId="0" applyFont="1" applyFill="1" applyBorder="1" applyAlignment="1">
      <alignment horizontal="left" vertical="center" indent="1"/>
    </xf>
    <xf numFmtId="0" fontId="166" fillId="70" borderId="29" xfId="0" applyFont="1" applyFill="1" applyBorder="1" applyAlignment="1">
      <alignment horizontal="left" vertical="center"/>
    </xf>
    <xf numFmtId="0" fontId="166" fillId="70" borderId="29" xfId="0" applyFont="1" applyFill="1" applyBorder="1" applyAlignment="1">
      <alignment horizontal="left" vertical="center" indent="1"/>
    </xf>
    <xf numFmtId="0" fontId="167" fillId="70" borderId="29" xfId="0" applyFont="1" applyFill="1" applyBorder="1" applyAlignment="1">
      <alignment horizontal="left" vertical="center" indent="1"/>
    </xf>
    <xf numFmtId="0" fontId="164" fillId="0" borderId="35" xfId="0" applyFont="1" applyFill="1" applyBorder="1" applyAlignment="1">
      <alignment horizontal="center" vertical="center" wrapText="1"/>
    </xf>
    <xf numFmtId="0" fontId="164" fillId="0" borderId="34" xfId="0" applyFont="1" applyFill="1" applyBorder="1" applyAlignment="1">
      <alignment horizontal="center" vertical="center" wrapText="1"/>
    </xf>
    <xf numFmtId="172" fontId="164" fillId="65" borderId="29" xfId="1469" applyNumberFormat="1" applyFont="1" applyFill="1" applyBorder="1" applyAlignment="1">
      <alignment horizontal="right" vertical="center" indent="1"/>
    </xf>
    <xf numFmtId="172" fontId="164" fillId="65" borderId="29" xfId="0" applyNumberFormat="1" applyFont="1" applyFill="1" applyBorder="1" applyAlignment="1">
      <alignment horizontal="right" vertical="center" indent="1"/>
    </xf>
    <xf numFmtId="172" fontId="161" fillId="78" borderId="35" xfId="0" applyNumberFormat="1" applyFont="1" applyFill="1" applyBorder="1" applyAlignment="1">
      <alignment horizontal="center" vertical="center"/>
    </xf>
    <xf numFmtId="172" fontId="161" fillId="78" borderId="34" xfId="0" applyNumberFormat="1" applyFont="1" applyFill="1" applyBorder="1" applyAlignment="1">
      <alignment horizontal="center" vertical="center"/>
    </xf>
    <xf numFmtId="0" fontId="162" fillId="66" borderId="53" xfId="0" applyFont="1" applyFill="1" applyBorder="1" applyAlignment="1">
      <alignment horizontal="left" vertical="center" indent="1"/>
    </xf>
    <xf numFmtId="2" fontId="165" fillId="0" borderId="29" xfId="1469" applyNumberFormat="1" applyFont="1" applyFill="1" applyBorder="1" applyAlignment="1">
      <alignment horizontal="center" vertical="center" wrapText="1"/>
    </xf>
    <xf numFmtId="2" fontId="165" fillId="0" borderId="29" xfId="0" applyNumberFormat="1" applyFont="1" applyFill="1" applyBorder="1" applyAlignment="1">
      <alignment horizontal="center" vertical="center"/>
    </xf>
    <xf numFmtId="0" fontId="157" fillId="76" borderId="46" xfId="0" applyFont="1" applyFill="1" applyBorder="1" applyAlignment="1">
      <alignment horizontal="left" vertical="center" wrapText="1" indent="1"/>
    </xf>
    <xf numFmtId="0" fontId="157" fillId="76" borderId="29" xfId="0" applyFont="1" applyFill="1" applyBorder="1" applyAlignment="1">
      <alignment horizontal="left" vertical="center" wrapText="1" indent="1"/>
    </xf>
    <xf numFmtId="0" fontId="157" fillId="76" borderId="47" xfId="0" applyFont="1" applyFill="1" applyBorder="1" applyAlignment="1">
      <alignment horizontal="left" vertical="center" wrapText="1" indent="1"/>
    </xf>
    <xf numFmtId="170" fontId="159" fillId="73" borderId="34" xfId="0" applyNumberFormat="1" applyFont="1" applyFill="1" applyBorder="1" applyAlignment="1">
      <alignment horizontal="center" vertical="center" wrapText="1"/>
    </xf>
    <xf numFmtId="1" fontId="159" fillId="73" borderId="56" xfId="0" applyNumberFormat="1" applyFont="1" applyFill="1" applyBorder="1" applyAlignment="1">
      <alignment horizontal="center" vertical="center" wrapText="1"/>
    </xf>
    <xf numFmtId="0" fontId="159" fillId="71" borderId="39" xfId="0" applyFont="1" applyFill="1" applyBorder="1" applyAlignment="1">
      <alignment horizontal="center" vertical="center"/>
    </xf>
    <xf numFmtId="0" fontId="159" fillId="71" borderId="34" xfId="0" applyFont="1" applyFill="1" applyBorder="1" applyAlignment="1">
      <alignment horizontal="center" vertical="center"/>
    </xf>
    <xf numFmtId="0" fontId="162" fillId="66" borderId="43" xfId="0" applyFont="1" applyFill="1" applyBorder="1" applyAlignment="1">
      <alignment horizontal="left" vertical="center" indent="1"/>
    </xf>
    <xf numFmtId="0" fontId="162" fillId="66" borderId="36" xfId="0" applyFont="1" applyFill="1" applyBorder="1" applyAlignment="1">
      <alignment horizontal="left" vertical="center" indent="1"/>
    </xf>
    <xf numFmtId="0" fontId="46" fillId="77" borderId="61" xfId="0" applyFont="1" applyFill="1" applyBorder="1" applyAlignment="1">
      <alignment horizontal="center" vertical="center"/>
    </xf>
    <xf numFmtId="0" fontId="46" fillId="77" borderId="0" xfId="0" applyFont="1" applyFill="1" applyBorder="1" applyAlignment="1">
      <alignment horizontal="center" vertical="center"/>
    </xf>
    <xf numFmtId="0" fontId="159" fillId="71" borderId="69" xfId="0" applyFont="1" applyFill="1" applyBorder="1" applyAlignment="1">
      <alignment horizontal="center" vertical="center" wrapText="1"/>
    </xf>
    <xf numFmtId="0" fontId="159" fillId="71" borderId="70" xfId="0" applyFont="1" applyFill="1" applyBorder="1" applyAlignment="1">
      <alignment horizontal="center" vertical="center" wrapText="1"/>
    </xf>
    <xf numFmtId="0" fontId="204" fillId="0" borderId="69" xfId="0" applyFont="1" applyBorder="1" applyAlignment="1">
      <alignment horizontal="center" vertical="center"/>
    </xf>
    <xf numFmtId="0" fontId="204" fillId="0" borderId="70" xfId="0" applyFont="1" applyBorder="1" applyAlignment="1">
      <alignment horizontal="center" vertical="center"/>
    </xf>
    <xf numFmtId="0" fontId="204" fillId="0" borderId="69" xfId="0" applyFont="1" applyFill="1" applyBorder="1" applyAlignment="1">
      <alignment horizontal="center" vertical="center"/>
    </xf>
    <xf numFmtId="0" fontId="204" fillId="0" borderId="70" xfId="0" applyFont="1" applyFill="1" applyBorder="1" applyAlignment="1">
      <alignment horizontal="center" vertical="center"/>
    </xf>
    <xf numFmtId="0" fontId="157" fillId="79" borderId="31" xfId="0" applyFont="1" applyFill="1" applyBorder="1" applyAlignment="1">
      <alignment horizontal="center" vertical="center" wrapText="1"/>
    </xf>
    <xf numFmtId="0" fontId="157" fillId="79" borderId="32" xfId="0" applyFont="1" applyFill="1" applyBorder="1" applyAlignment="1">
      <alignment horizontal="center" vertical="center" wrapText="1"/>
    </xf>
    <xf numFmtId="0" fontId="157" fillId="79" borderId="33" xfId="0" applyFont="1" applyFill="1" applyBorder="1" applyAlignment="1">
      <alignment horizontal="center" vertical="center" wrapText="1"/>
    </xf>
    <xf numFmtId="172" fontId="164" fillId="0" borderId="29" xfId="0" applyNumberFormat="1" applyFont="1" applyFill="1" applyBorder="1" applyAlignment="1">
      <alignment horizontal="right" vertical="center" indent="1"/>
    </xf>
    <xf numFmtId="172" fontId="164" fillId="0" borderId="29" xfId="1469" applyNumberFormat="1" applyFont="1" applyFill="1" applyBorder="1" applyAlignment="1">
      <alignment horizontal="right" vertical="center" indent="1"/>
    </xf>
    <xf numFmtId="0" fontId="159" fillId="71" borderId="31" xfId="0" applyFont="1" applyFill="1" applyBorder="1" applyAlignment="1">
      <alignment horizontal="center" vertical="center" wrapText="1"/>
    </xf>
    <xf numFmtId="0" fontId="159" fillId="71" borderId="32" xfId="0" applyFont="1" applyFill="1" applyBorder="1" applyAlignment="1">
      <alignment horizontal="center" vertical="center" wrapText="1"/>
    </xf>
    <xf numFmtId="0" fontId="159" fillId="71" borderId="33" xfId="0" applyFont="1" applyFill="1" applyBorder="1" applyAlignment="1">
      <alignment horizontal="center" vertical="center" wrapText="1"/>
    </xf>
    <xf numFmtId="0" fontId="175" fillId="66" borderId="44" xfId="0" applyFont="1" applyFill="1" applyBorder="1" applyAlignment="1">
      <alignment horizontal="left" vertical="center"/>
    </xf>
    <xf numFmtId="0" fontId="175" fillId="66" borderId="32" xfId="0" applyFont="1" applyFill="1" applyBorder="1" applyAlignment="1">
      <alignment horizontal="left" vertical="center"/>
    </xf>
    <xf numFmtId="0" fontId="175" fillId="66" borderId="45" xfId="0" applyFont="1" applyFill="1" applyBorder="1" applyAlignment="1">
      <alignment horizontal="left" vertical="center"/>
    </xf>
    <xf numFmtId="0" fontId="164" fillId="0" borderId="29" xfId="0" applyFont="1" applyFill="1" applyBorder="1" applyAlignment="1">
      <alignment horizontal="center" vertical="center" wrapText="1"/>
    </xf>
    <xf numFmtId="0" fontId="166" fillId="0" borderId="46" xfId="0" applyFont="1" applyFill="1" applyBorder="1" applyAlignment="1">
      <alignment horizontal="left" vertical="center" wrapText="1" indent="1"/>
    </xf>
    <xf numFmtId="0" fontId="122" fillId="70" borderId="53" xfId="0" applyFont="1" applyFill="1" applyBorder="1" applyAlignment="1" applyProtection="1">
      <alignment horizontal="right"/>
      <protection locked="0"/>
    </xf>
    <xf numFmtId="0" fontId="122" fillId="70" borderId="58" xfId="0" applyFont="1" applyFill="1" applyBorder="1" applyAlignment="1" applyProtection="1">
      <alignment horizontal="right"/>
      <protection locked="0"/>
    </xf>
    <xf numFmtId="0" fontId="122" fillId="70" borderId="59" xfId="0" applyFont="1" applyFill="1" applyBorder="1" applyAlignment="1" applyProtection="1">
      <alignment horizontal="right"/>
      <protection locked="0"/>
    </xf>
    <xf numFmtId="0" fontId="4" fillId="70" borderId="0" xfId="1321" applyFill="1" applyBorder="1" applyAlignment="1" applyProtection="1">
      <alignment horizontal="right"/>
      <protection locked="0"/>
    </xf>
    <xf numFmtId="0" fontId="129" fillId="70" borderId="0" xfId="1321" applyFont="1" applyFill="1" applyBorder="1" applyAlignment="1" applyProtection="1">
      <alignment horizontal="right"/>
      <protection locked="0"/>
    </xf>
    <xf numFmtId="0" fontId="129" fillId="70" borderId="53" xfId="1321" applyFont="1" applyFill="1" applyBorder="1" applyAlignment="1" applyProtection="1">
      <alignment horizontal="right"/>
      <protection locked="0"/>
    </xf>
    <xf numFmtId="0" fontId="104" fillId="70" borderId="0" xfId="1321" applyFont="1" applyFill="1" applyBorder="1" applyAlignment="1" applyProtection="1">
      <alignment horizontal="right"/>
      <protection locked="0"/>
    </xf>
    <xf numFmtId="0" fontId="104" fillId="70" borderId="53" xfId="1321" applyFont="1" applyFill="1" applyBorder="1" applyAlignment="1" applyProtection="1">
      <alignment horizontal="right"/>
      <protection locked="0"/>
    </xf>
    <xf numFmtId="0" fontId="124" fillId="70" borderId="0" xfId="0" applyFont="1" applyFill="1" applyBorder="1" applyAlignment="1" applyProtection="1">
      <alignment horizontal="right"/>
      <protection locked="0"/>
    </xf>
    <xf numFmtId="0" fontId="124" fillId="70" borderId="53" xfId="0" applyFont="1" applyFill="1" applyBorder="1" applyAlignment="1" applyProtection="1">
      <alignment horizontal="right"/>
      <protection locked="0"/>
    </xf>
    <xf numFmtId="0" fontId="143" fillId="70" borderId="52" xfId="0" applyFont="1" applyFill="1" applyBorder="1" applyAlignment="1">
      <alignment horizontal="left" vertical="center"/>
    </xf>
    <xf numFmtId="0" fontId="143" fillId="70" borderId="0" xfId="0" applyFont="1" applyFill="1" applyBorder="1" applyAlignment="1">
      <alignment horizontal="left" vertical="center"/>
    </xf>
    <xf numFmtId="0" fontId="135" fillId="70" borderId="0" xfId="0" applyFont="1" applyFill="1" applyBorder="1" applyAlignment="1">
      <alignment horizontal="center"/>
    </xf>
    <xf numFmtId="0" fontId="147" fillId="65" borderId="44" xfId="0" applyFont="1" applyFill="1" applyBorder="1" applyAlignment="1">
      <alignment horizontal="center" vertical="center"/>
    </xf>
    <xf numFmtId="0" fontId="147" fillId="65" borderId="32" xfId="0" applyFont="1" applyFill="1" applyBorder="1" applyAlignment="1">
      <alignment horizontal="center" vertical="center"/>
    </xf>
    <xf numFmtId="0" fontId="147" fillId="65" borderId="45" xfId="0" applyFont="1" applyFill="1" applyBorder="1" applyAlignment="1">
      <alignment horizontal="center" vertical="center"/>
    </xf>
    <xf numFmtId="172" fontId="159" fillId="0" borderId="29" xfId="1469" applyNumberFormat="1" applyFont="1" applyFill="1" applyBorder="1" applyAlignment="1">
      <alignment horizontal="right" vertical="center" indent="1"/>
    </xf>
    <xf numFmtId="172" fontId="159" fillId="0" borderId="29" xfId="0" applyNumberFormat="1" applyFont="1" applyFill="1" applyBorder="1" applyAlignment="1">
      <alignment horizontal="right" vertical="center" indent="1"/>
    </xf>
    <xf numFmtId="0" fontId="157" fillId="71" borderId="29" xfId="0" applyFont="1" applyFill="1" applyBorder="1" applyAlignment="1">
      <alignment horizontal="center"/>
    </xf>
    <xf numFmtId="0" fontId="174" fillId="66" borderId="52" xfId="0" applyFont="1" applyFill="1" applyBorder="1" applyAlignment="1">
      <alignment horizontal="left" vertical="center" indent="1"/>
    </xf>
    <xf numFmtId="0" fontId="174" fillId="66" borderId="0" xfId="0" applyFont="1" applyFill="1" applyBorder="1" applyAlignment="1">
      <alignment horizontal="left" vertical="center" indent="1"/>
    </xf>
    <xf numFmtId="0" fontId="174" fillId="66" borderId="53" xfId="0" applyFont="1" applyFill="1" applyBorder="1" applyAlignment="1">
      <alignment horizontal="left" vertical="center" indent="1"/>
    </xf>
    <xf numFmtId="0" fontId="159" fillId="0" borderId="29" xfId="0" applyFont="1" applyFill="1" applyBorder="1" applyAlignment="1">
      <alignment horizontal="center" vertical="center" wrapText="1"/>
    </xf>
    <xf numFmtId="169" fontId="164" fillId="0" borderId="29" xfId="1469" applyNumberFormat="1" applyFont="1" applyFill="1" applyBorder="1" applyAlignment="1">
      <alignment horizontal="center" vertical="center" wrapText="1"/>
    </xf>
    <xf numFmtId="169" fontId="164" fillId="0" borderId="29" xfId="0" applyNumberFormat="1" applyFont="1" applyFill="1" applyBorder="1" applyAlignment="1">
      <alignment horizontal="center" vertical="center"/>
    </xf>
    <xf numFmtId="0" fontId="161" fillId="65" borderId="0" xfId="0" applyFont="1" applyFill="1" applyBorder="1" applyAlignment="1">
      <alignment horizontal="center" vertical="center"/>
    </xf>
    <xf numFmtId="0" fontId="171" fillId="0" borderId="46" xfId="0" applyFont="1" applyFill="1" applyBorder="1" applyAlignment="1">
      <alignment horizontal="left" vertical="center" indent="1"/>
    </xf>
    <xf numFmtId="0" fontId="207" fillId="0" borderId="46" xfId="0" applyFont="1" applyFill="1" applyBorder="1" applyAlignment="1">
      <alignment horizontal="left" vertical="center" indent="1"/>
    </xf>
    <xf numFmtId="172" fontId="206" fillId="78" borderId="29" xfId="0" applyNumberFormat="1" applyFont="1" applyFill="1" applyBorder="1" applyAlignment="1">
      <alignment horizontal="right" vertical="center" indent="1"/>
    </xf>
    <xf numFmtId="171" fontId="206" fillId="78" borderId="29" xfId="1330" applyNumberFormat="1" applyFont="1" applyFill="1" applyBorder="1" applyAlignment="1">
      <alignment horizontal="center" vertical="center" wrapText="1"/>
    </xf>
    <xf numFmtId="0" fontId="180" fillId="71" borderId="31" xfId="0" applyFont="1" applyFill="1" applyBorder="1" applyAlignment="1">
      <alignment horizontal="center" vertical="center"/>
    </xf>
    <xf numFmtId="0" fontId="180" fillId="71" borderId="32" xfId="0" applyFont="1" applyFill="1" applyBorder="1" applyAlignment="1">
      <alignment horizontal="center" vertical="center"/>
    </xf>
    <xf numFmtId="0" fontId="180" fillId="71" borderId="33" xfId="0" applyFont="1" applyFill="1" applyBorder="1" applyAlignment="1">
      <alignment horizontal="center" vertical="center"/>
    </xf>
    <xf numFmtId="0" fontId="162" fillId="66" borderId="52" xfId="0" applyFont="1" applyFill="1" applyBorder="1" applyAlignment="1">
      <alignment horizontal="left" vertical="center"/>
    </xf>
    <xf numFmtId="0" fontId="162" fillId="66" borderId="0" xfId="0" applyFont="1" applyFill="1" applyBorder="1" applyAlignment="1">
      <alignment horizontal="left" vertical="center"/>
    </xf>
    <xf numFmtId="0" fontId="162" fillId="66" borderId="53" xfId="0" applyFont="1" applyFill="1" applyBorder="1" applyAlignment="1">
      <alignment horizontal="left" vertical="center"/>
    </xf>
    <xf numFmtId="49" fontId="188" fillId="0" borderId="29" xfId="0" applyNumberFormat="1" applyFont="1" applyFill="1" applyBorder="1" applyAlignment="1">
      <alignment vertical="center"/>
    </xf>
    <xf numFmtId="0" fontId="204" fillId="0" borderId="31" xfId="0" applyFont="1" applyBorder="1" applyAlignment="1">
      <alignment horizontal="center" vertical="center" wrapText="1"/>
    </xf>
    <xf numFmtId="0" fontId="204" fillId="0" borderId="32" xfId="0" applyFont="1" applyBorder="1" applyAlignment="1">
      <alignment horizontal="center" vertical="center" wrapText="1"/>
    </xf>
    <xf numFmtId="0" fontId="204" fillId="0" borderId="33" xfId="0" applyFont="1" applyBorder="1" applyAlignment="1">
      <alignment horizontal="center" vertical="center" wrapText="1"/>
    </xf>
    <xf numFmtId="0" fontId="145" fillId="77" borderId="0" xfId="0" applyFont="1" applyFill="1" applyBorder="1" applyAlignment="1">
      <alignment horizontal="center"/>
    </xf>
    <xf numFmtId="0" fontId="145" fillId="77" borderId="53" xfId="0" applyFont="1" applyFill="1" applyBorder="1" applyAlignment="1">
      <alignment horizontal="center"/>
    </xf>
    <xf numFmtId="0" fontId="160" fillId="70" borderId="52" xfId="0" applyFont="1" applyFill="1" applyBorder="1" applyAlignment="1">
      <alignment horizontal="left" vertical="center" wrapText="1" indent="1"/>
    </xf>
    <xf numFmtId="0" fontId="160" fillId="70" borderId="0" xfId="0" applyFont="1" applyFill="1" applyBorder="1" applyAlignment="1">
      <alignment horizontal="left" vertical="center" wrapText="1" indent="1"/>
    </xf>
    <xf numFmtId="0" fontId="160" fillId="70" borderId="53" xfId="0" applyFont="1" applyFill="1" applyBorder="1" applyAlignment="1">
      <alignment horizontal="left" vertical="center" wrapText="1" indent="1"/>
    </xf>
    <xf numFmtId="0" fontId="0" fillId="70" borderId="0" xfId="0" applyFill="1" applyAlignment="1" applyProtection="1">
      <alignment horizontal="center"/>
      <protection locked="0"/>
    </xf>
    <xf numFmtId="0" fontId="212" fillId="70" borderId="0" xfId="0" applyFont="1" applyFill="1" applyBorder="1" applyAlignment="1">
      <alignment horizontal="left" vertical="top" wrapText="1" indent="1"/>
    </xf>
    <xf numFmtId="0" fontId="212" fillId="70" borderId="0" xfId="0" applyFont="1" applyFill="1" applyBorder="1" applyAlignment="1">
      <alignment horizontal="left" vertical="top" indent="1"/>
    </xf>
    <xf numFmtId="0" fontId="155" fillId="70" borderId="0" xfId="0" applyFont="1" applyFill="1" applyBorder="1" applyAlignment="1">
      <alignment horizontal="left" vertical="top" indent="1"/>
    </xf>
    <xf numFmtId="0" fontId="157" fillId="70" borderId="0" xfId="0" applyFont="1" applyFill="1" applyBorder="1" applyAlignment="1">
      <alignment horizontal="left" vertical="center" wrapText="1" indent="1"/>
    </xf>
    <xf numFmtId="0" fontId="212" fillId="70" borderId="0" xfId="0" applyFont="1" applyFill="1" applyBorder="1" applyAlignment="1">
      <alignment horizontal="left" vertical="center" indent="1"/>
    </xf>
    <xf numFmtId="0" fontId="160" fillId="70" borderId="0" xfId="0" applyFont="1" applyFill="1" applyBorder="1" applyAlignment="1">
      <alignment horizontal="center" vertical="center" wrapText="1"/>
    </xf>
    <xf numFmtId="0" fontId="157" fillId="70" borderId="0" xfId="0" applyFont="1" applyFill="1" applyBorder="1" applyAlignment="1">
      <alignment horizontal="left" wrapText="1" indent="1"/>
    </xf>
    <xf numFmtId="0" fontId="215" fillId="70" borderId="0" xfId="0" applyFont="1" applyFill="1" applyBorder="1" applyAlignment="1">
      <alignment horizontal="left" indent="1"/>
    </xf>
    <xf numFmtId="0" fontId="212" fillId="70" borderId="0" xfId="0" applyFont="1" applyFill="1" applyBorder="1" applyAlignment="1">
      <alignment horizontal="left" vertical="center" wrapText="1" indent="1"/>
    </xf>
    <xf numFmtId="0" fontId="154" fillId="71" borderId="0" xfId="0" applyFont="1" applyFill="1" applyBorder="1" applyAlignment="1">
      <alignment horizontal="left" vertical="center" wrapText="1" indent="1"/>
    </xf>
    <xf numFmtId="0" fontId="157" fillId="70" borderId="0" xfId="0" applyFont="1" applyFill="1" applyBorder="1" applyAlignment="1">
      <alignment horizontal="left" vertical="center" wrapText="1"/>
    </xf>
    <xf numFmtId="0" fontId="157" fillId="70" borderId="0" xfId="0" applyFont="1" applyFill="1" applyAlignment="1">
      <alignment horizontal="left" vertical="top" wrapText="1" indent="1"/>
    </xf>
    <xf numFmtId="0" fontId="15" fillId="70" borderId="0" xfId="0" applyFont="1" applyFill="1" applyAlignment="1">
      <alignment horizontal="left" vertical="top" wrapText="1" indent="1"/>
    </xf>
    <xf numFmtId="0" fontId="211" fillId="70" borderId="0" xfId="0" applyFont="1" applyFill="1" applyBorder="1" applyAlignment="1">
      <alignment horizontal="left" vertical="top" wrapText="1" indent="1"/>
    </xf>
    <xf numFmtId="0" fontId="157" fillId="70" borderId="0" xfId="0" applyFont="1" applyFill="1" applyBorder="1" applyAlignment="1">
      <alignment horizontal="left" vertical="top" wrapText="1" indent="1"/>
    </xf>
    <xf numFmtId="0" fontId="211" fillId="70" borderId="0" xfId="0" applyFont="1" applyFill="1" applyBorder="1" applyAlignment="1">
      <alignment horizontal="left" vertical="center" wrapText="1" indent="1"/>
    </xf>
    <xf numFmtId="0" fontId="157" fillId="70" borderId="0" xfId="0" applyFont="1" applyFill="1" applyBorder="1" applyAlignment="1">
      <alignment horizontal="left" vertical="top" wrapText="1"/>
    </xf>
  </cellXfs>
  <cellStyles count="2113">
    <cellStyle name="_x0004_" xfId="1"/>
    <cellStyle name="_x0007_" xfId="2"/>
    <cellStyle name="_x0004_ 10" xfId="3"/>
    <cellStyle name="_x0004_ 11" xfId="4"/>
    <cellStyle name="_x0004_ 12" xfId="5"/>
    <cellStyle name="_x0004_ 13" xfId="6"/>
    <cellStyle name="_x0004_ 14" xfId="7"/>
    <cellStyle name="_x0004_ 15" xfId="8"/>
    <cellStyle name="_x0004_ 16" xfId="9"/>
    <cellStyle name="_x0004_ 17" xfId="10"/>
    <cellStyle name="_x0004_ 18" xfId="11"/>
    <cellStyle name="_x0004_ 19" xfId="12"/>
    <cellStyle name="_x0004_ 2" xfId="13"/>
    <cellStyle name="_x0004_ 20" xfId="14"/>
    <cellStyle name="_x0004_ 21" xfId="15"/>
    <cellStyle name="_x0004_ 22" xfId="16"/>
    <cellStyle name="_x0004_ 23" xfId="17"/>
    <cellStyle name="_x0004_ 24" xfId="18"/>
    <cellStyle name="_x0004_ 25" xfId="19"/>
    <cellStyle name="_x0004_ 26" xfId="20"/>
    <cellStyle name="_x0004_ 27" xfId="21"/>
    <cellStyle name="_x0004_ 28" xfId="22"/>
    <cellStyle name="_x0004_ 29" xfId="23"/>
    <cellStyle name="_x0004_ 3" xfId="24"/>
    <cellStyle name="_x0004_ 30" xfId="25"/>
    <cellStyle name="_x0004_ 31" xfId="26"/>
    <cellStyle name="_x0004_ 32" xfId="27"/>
    <cellStyle name="_x0004_ 33" xfId="28"/>
    <cellStyle name="_x0004_ 34" xfId="29"/>
    <cellStyle name="_x0004_ 35" xfId="30"/>
    <cellStyle name="_x0004_ 36" xfId="31"/>
    <cellStyle name="_x0004_ 37" xfId="32"/>
    <cellStyle name="_x0004_ 38" xfId="33"/>
    <cellStyle name="_x0004_ 39" xfId="34"/>
    <cellStyle name="_x0004_ 4" xfId="35"/>
    <cellStyle name="_x0004_ 40" xfId="36"/>
    <cellStyle name="_x0004_ 41" xfId="37"/>
    <cellStyle name="_x0004_ 42" xfId="38"/>
    <cellStyle name="_x0004_ 43" xfId="39"/>
    <cellStyle name="_x0004_ 44" xfId="40"/>
    <cellStyle name="_x0004_ 45" xfId="41"/>
    <cellStyle name="_x0004_ 46" xfId="42"/>
    <cellStyle name="_x0004_ 47" xfId="43"/>
    <cellStyle name="_x0004_ 48" xfId="44"/>
    <cellStyle name="_x0004_ 49" xfId="45"/>
    <cellStyle name="_x0004_ 5" xfId="46"/>
    <cellStyle name="_x0004_ 50" xfId="47"/>
    <cellStyle name="_x0004_ 51" xfId="48"/>
    <cellStyle name="_x0004_ 52" xfId="49"/>
    <cellStyle name="_x0004_ 53" xfId="50"/>
    <cellStyle name="_x0004_ 54" xfId="51"/>
    <cellStyle name="_x0004_ 55" xfId="52"/>
    <cellStyle name="_x0004_ 56" xfId="53"/>
    <cellStyle name="_x0004_ 57" xfId="54"/>
    <cellStyle name="_x0004_ 58" xfId="55"/>
    <cellStyle name="_x0004_ 59" xfId="56"/>
    <cellStyle name="_x0004_ 6" xfId="57"/>
    <cellStyle name="_x0004_ 7" xfId="58"/>
    <cellStyle name="_x0004_ 8" xfId="59"/>
    <cellStyle name="_x0004_ 9" xfId="60"/>
    <cellStyle name="_x0004_???" xfId="61"/>
    <cellStyle name="_2011.04.12 VRF Offer Package" xfId="62"/>
    <cellStyle name="_CONSULTA" xfId="63"/>
    <cellStyle name="_CONSULTA 2" xfId="64"/>
    <cellStyle name="_CONSULTA 3" xfId="65"/>
    <cellStyle name="_CONSULTA 4" xfId="66"/>
    <cellStyle name="_CONSULTA 5" xfId="67"/>
    <cellStyle name="_CONSULTA 6" xfId="68"/>
    <cellStyle name="_CONSULTA 7" xfId="69"/>
    <cellStyle name="_CONSULTA 8" xfId="70"/>
    <cellStyle name="_CONSULTA_price Climatech" xfId="71"/>
    <cellStyle name="_CONSULTA_Прайс" xfId="72"/>
    <cellStyle name="_CONSULTA_Прайс-лист Вентиляция" xfId="73"/>
    <cellStyle name="_CONSULTA_Прайс-лист Вентиляция_аксессуары" xfId="74"/>
    <cellStyle name="_CONSULTA_Прайс-лист Вентиляция_Прайс розница промышленная вентиляция VENTS" xfId="75"/>
    <cellStyle name="_CONSULTA_Прайс-лист Вентиляция_центробежные" xfId="76"/>
    <cellStyle name="_ECO-i order sheet" xfId="77"/>
    <cellStyle name="_ET_STYLE_NoName_00_" xfId="78"/>
    <cellStyle name="_ET_STYLE_NoName_00_ 2" xfId="79"/>
    <cellStyle name="_ET_STYLE_NoName_00__ControlSystemSummary_2010128" xfId="80"/>
    <cellStyle name="_final DDP ruble price_13Jan" xfId="81"/>
    <cellStyle name="_General" xfId="82"/>
    <cellStyle name="_General 2" xfId="83"/>
    <cellStyle name="_General 3" xfId="84"/>
    <cellStyle name="_General 4" xfId="85"/>
    <cellStyle name="_General 5" xfId="86"/>
    <cellStyle name="_General 6" xfId="87"/>
    <cellStyle name="_General 7" xfId="88"/>
    <cellStyle name="_General 8" xfId="89"/>
    <cellStyle name="_General_ClimateИНРОСТ" xfId="90"/>
    <cellStyle name="_General_price Climatech" xfId="91"/>
    <cellStyle name="_General_Прайс" xfId="92"/>
    <cellStyle name="_General_Прайс-лист Вентиляция" xfId="93"/>
    <cellStyle name="_General_Прайс-лист Вентиляция_аксессуары" xfId="94"/>
    <cellStyle name="_General_Прайс-лист Вентиляция_Прайс розница промышленная вентиляция VENTS" xfId="95"/>
    <cellStyle name="_General_Прайс-лист Вентиляция_центробежные" xfId="96"/>
    <cellStyle name="_Habitat" xfId="97"/>
    <cellStyle name="_Habitat 2" xfId="98"/>
    <cellStyle name="_Habitat 3" xfId="99"/>
    <cellStyle name="_Habitat 4" xfId="100"/>
    <cellStyle name="_Habitat 5" xfId="101"/>
    <cellStyle name="_Habitat 6" xfId="102"/>
    <cellStyle name="_Habitat 7" xfId="103"/>
    <cellStyle name="_Habitat 8" xfId="104"/>
    <cellStyle name="_Habitat_price Climatech" xfId="105"/>
    <cellStyle name="_Habitat_Прайс" xfId="106"/>
    <cellStyle name="_Habitat_Прайс-лист Вентиляция" xfId="107"/>
    <cellStyle name="_Habitat_Прайс-лист Вентиляция_аксессуары" xfId="108"/>
    <cellStyle name="_Habitat_Прайс-лист Вентиляция_Прайс розница промышленная вентиляция VENTS" xfId="109"/>
    <cellStyle name="_Habitat_Прайс-лист Вентиляция_центробежные" xfId="110"/>
    <cellStyle name="_Hoja1" xfId="111"/>
    <cellStyle name="_Hoja1 2" xfId="112"/>
    <cellStyle name="_Hoja1 3" xfId="113"/>
    <cellStyle name="_Hoja1 4" xfId="114"/>
    <cellStyle name="_Hoja1 5" xfId="115"/>
    <cellStyle name="_Hoja1 6" xfId="116"/>
    <cellStyle name="_Hoja1 7" xfId="117"/>
    <cellStyle name="_Hoja1 8" xfId="118"/>
    <cellStyle name="_Hoja1_price Climatech" xfId="119"/>
    <cellStyle name="_Hoja1_Прайс-лист Вентиляция" xfId="120"/>
    <cellStyle name="_Hoja1_Прайс-лист Вентиляция_аксессуары" xfId="121"/>
    <cellStyle name="_Hoja1_Прайс-лист Вентиляция_Прайс розница промышленная вентиляция VENTS" xfId="122"/>
    <cellStyle name="_Hoja1_Прайс-лист Вентиляция_центробежные" xfId="123"/>
    <cellStyle name="_Industrial" xfId="124"/>
    <cellStyle name="_Industrial 2" xfId="125"/>
    <cellStyle name="_Industrial 3" xfId="126"/>
    <cellStyle name="_Industrial 4" xfId="127"/>
    <cellStyle name="_Industrial 5" xfId="128"/>
    <cellStyle name="_Industrial 6" xfId="129"/>
    <cellStyle name="_Industrial 7" xfId="130"/>
    <cellStyle name="_Industrial 8" xfId="131"/>
    <cellStyle name="_Industrial_price Climatech" xfId="132"/>
    <cellStyle name="_Industrial_Прайс" xfId="133"/>
    <cellStyle name="_Industrial_Прайс-лист Вентиляция" xfId="134"/>
    <cellStyle name="_Industrial_Прайс-лист Вентиляция_аксессуары" xfId="135"/>
    <cellStyle name="_Industrial_Прайс-лист Вентиляция_Прайс розница промышленная вентиляция VENTS" xfId="136"/>
    <cellStyle name="_Industrial_Прайс-лист Вентиляция_центробежные" xfId="137"/>
    <cellStyle name="_x0007__Kentatsu_Line-up_2011_12.10.10" xfId="138"/>
    <cellStyle name="_Кондиционеры General Climate  " xfId="139"/>
    <cellStyle name="_кондиционеры Panasonic 2010 (май)" xfId="140"/>
    <cellStyle name="_КОНДИЦИОНЕРЫ ЯНВАРЬ 2013" xfId="141"/>
    <cellStyle name="_Мульты LG" xfId="142"/>
    <cellStyle name="_Новый Прайс General Climate_2011 (2) (1)" xfId="143"/>
    <cellStyle name="_Прайс General Climate 2013 г" xfId="144"/>
    <cellStyle name="_Прайс SamsungSplit2010" xfId="145"/>
    <cellStyle name="_Прайс Toshiba бытовуха" xfId="146"/>
    <cellStyle name="_Прайс Оптим APPLIMO" xfId="147"/>
    <cellStyle name="_Прайс-лист (мультизоны MDV) апрель 2011" xfId="148"/>
    <cellStyle name="_Расходка25,05" xfId="149"/>
    <cellStyle name="_ЭКОНОМИКА сплиты NEOCLIMA 2010 (октябрь)" xfId="150"/>
    <cellStyle name="0,0_x000d__x000a_NA_x000d__x000a_" xfId="151"/>
    <cellStyle name="20% - Accent1" xfId="152"/>
    <cellStyle name="20% - Accent1 2" xfId="153"/>
    <cellStyle name="20% - Accent1 3" xfId="154"/>
    <cellStyle name="20% - Accent2" xfId="155"/>
    <cellStyle name="20% - Accent2 2" xfId="156"/>
    <cellStyle name="20% - Accent2 3" xfId="157"/>
    <cellStyle name="20% - Accent3" xfId="158"/>
    <cellStyle name="20% - Accent3 2" xfId="159"/>
    <cellStyle name="20% - Accent3 3" xfId="160"/>
    <cellStyle name="20% - Accent4" xfId="161"/>
    <cellStyle name="20% - Accent4 2" xfId="162"/>
    <cellStyle name="20% - Accent4 3" xfId="163"/>
    <cellStyle name="20% - Accent5" xfId="164"/>
    <cellStyle name="20% - Accent5 2" xfId="165"/>
    <cellStyle name="20% - Accent5 3" xfId="166"/>
    <cellStyle name="20% - Accent6" xfId="167"/>
    <cellStyle name="20% - Accent6 2" xfId="168"/>
    <cellStyle name="20% - Accent6 3" xfId="169"/>
    <cellStyle name="20% - Akzent1" xfId="170"/>
    <cellStyle name="20% - Akzent2" xfId="171"/>
    <cellStyle name="20% - Akzent3" xfId="172"/>
    <cellStyle name="20% - Akzent4" xfId="173"/>
    <cellStyle name="20% - Akzent5" xfId="174"/>
    <cellStyle name="20% - Akzent6" xfId="175"/>
    <cellStyle name="20% - Énfasis1" xfId="176"/>
    <cellStyle name="20% - Énfasis1 2" xfId="177"/>
    <cellStyle name="20% - Énfasis1 2 2" xfId="178"/>
    <cellStyle name="20% - Énfasis1 2 3" xfId="179"/>
    <cellStyle name="20% - Énfasis1 2 4" xfId="180"/>
    <cellStyle name="20% - Énfasis1 2_Прайс" xfId="181"/>
    <cellStyle name="20% - Énfasis1 3" xfId="182"/>
    <cellStyle name="20% - Énfasis1 3 2" xfId="183"/>
    <cellStyle name="20% - Énfasis1 3 3" xfId="184"/>
    <cellStyle name="20% - Énfasis1 3_Прайс" xfId="185"/>
    <cellStyle name="20% - Énfasis1 4" xfId="186"/>
    <cellStyle name="20% - Énfasis1 4 2" xfId="187"/>
    <cellStyle name="20% - Énfasis1 4_Прайс" xfId="188"/>
    <cellStyle name="20% - Énfasis1 5" xfId="189"/>
    <cellStyle name="20% - Énfasis1_Прайс" xfId="190"/>
    <cellStyle name="20% - Énfasis2" xfId="191"/>
    <cellStyle name="20% - Énfasis2 2" xfId="192"/>
    <cellStyle name="20% - Énfasis2 2 2" xfId="193"/>
    <cellStyle name="20% - Énfasis2 2 3" xfId="194"/>
    <cellStyle name="20% - Énfasis2 2 4" xfId="195"/>
    <cellStyle name="20% - Énfasis2 2_Прайс" xfId="196"/>
    <cellStyle name="20% - Énfasis2 3" xfId="197"/>
    <cellStyle name="20% - Énfasis2 3 2" xfId="198"/>
    <cellStyle name="20% - Énfasis2 3 3" xfId="199"/>
    <cellStyle name="20% - Énfasis2 3_Прайс" xfId="200"/>
    <cellStyle name="20% - Énfasis2 4" xfId="201"/>
    <cellStyle name="20% - Énfasis2 4 2" xfId="202"/>
    <cellStyle name="20% - Énfasis2 4_Прайс" xfId="203"/>
    <cellStyle name="20% - Énfasis2 5" xfId="204"/>
    <cellStyle name="20% - Énfasis2_Прайс" xfId="205"/>
    <cellStyle name="20% - Énfasis3" xfId="206"/>
    <cellStyle name="20% - Énfasis3 2" xfId="207"/>
    <cellStyle name="20% - Énfasis3 2 2" xfId="208"/>
    <cellStyle name="20% - Énfasis3 2 3" xfId="209"/>
    <cellStyle name="20% - Énfasis3 2 4" xfId="210"/>
    <cellStyle name="20% - Énfasis3 2_Прайс" xfId="211"/>
    <cellStyle name="20% - Énfasis3 3" xfId="212"/>
    <cellStyle name="20% - Énfasis3 3 2" xfId="213"/>
    <cellStyle name="20% - Énfasis3 3 3" xfId="214"/>
    <cellStyle name="20% - Énfasis3 3_Прайс" xfId="215"/>
    <cellStyle name="20% - Énfasis3 4" xfId="216"/>
    <cellStyle name="20% - Énfasis3 4 2" xfId="217"/>
    <cellStyle name="20% - Énfasis3 4_Прайс" xfId="218"/>
    <cellStyle name="20% - Énfasis3 5" xfId="219"/>
    <cellStyle name="20% - Énfasis3_Прайс" xfId="220"/>
    <cellStyle name="20% - Énfasis4" xfId="221"/>
    <cellStyle name="20% - Énfasis4 2" xfId="222"/>
    <cellStyle name="20% - Énfasis4 2 2" xfId="223"/>
    <cellStyle name="20% - Énfasis4 2 3" xfId="224"/>
    <cellStyle name="20% - Énfasis4 2 4" xfId="225"/>
    <cellStyle name="20% - Énfasis4 2_Прайс" xfId="226"/>
    <cellStyle name="20% - Énfasis4 3" xfId="227"/>
    <cellStyle name="20% - Énfasis4 3 2" xfId="228"/>
    <cellStyle name="20% - Énfasis4 3 3" xfId="229"/>
    <cellStyle name="20% - Énfasis4 3_Прайс" xfId="230"/>
    <cellStyle name="20% - Énfasis4 4" xfId="231"/>
    <cellStyle name="20% - Énfasis4 4 2" xfId="232"/>
    <cellStyle name="20% - Énfasis4 4_Прайс" xfId="233"/>
    <cellStyle name="20% - Énfasis4 5" xfId="234"/>
    <cellStyle name="20% - Énfasis4_Прайс" xfId="235"/>
    <cellStyle name="20% - Énfasis5" xfId="236"/>
    <cellStyle name="20% - Énfasis5 2" xfId="237"/>
    <cellStyle name="20% - Énfasis5 2 2" xfId="238"/>
    <cellStyle name="20% - Énfasis5 2 3" xfId="239"/>
    <cellStyle name="20% - Énfasis5 2 4" xfId="240"/>
    <cellStyle name="20% - Énfasis5 2_Прайс" xfId="241"/>
    <cellStyle name="20% - Énfasis5 3" xfId="242"/>
    <cellStyle name="20% - Énfasis5 3 2" xfId="243"/>
    <cellStyle name="20% - Énfasis5 3 3" xfId="244"/>
    <cellStyle name="20% - Énfasis5 3_Прайс" xfId="245"/>
    <cellStyle name="20% - Énfasis5 4" xfId="246"/>
    <cellStyle name="20% - Énfasis5 4 2" xfId="247"/>
    <cellStyle name="20% - Énfasis5 4_Прайс" xfId="248"/>
    <cellStyle name="20% - Énfasis5 5" xfId="249"/>
    <cellStyle name="20% - Énfasis5_Прайс" xfId="250"/>
    <cellStyle name="20% - Énfasis6" xfId="251"/>
    <cellStyle name="20% - Énfasis6 2" xfId="252"/>
    <cellStyle name="20% - Énfasis6 2 2" xfId="253"/>
    <cellStyle name="20% - Énfasis6 2 3" xfId="254"/>
    <cellStyle name="20% - Énfasis6 2 4" xfId="255"/>
    <cellStyle name="20% - Énfasis6 2_Прайс" xfId="256"/>
    <cellStyle name="20% - Énfasis6 3" xfId="257"/>
    <cellStyle name="20% - Énfasis6 3 2" xfId="258"/>
    <cellStyle name="20% - Énfasis6 3 3" xfId="259"/>
    <cellStyle name="20% - Énfasis6 3_Прайс" xfId="260"/>
    <cellStyle name="20% - Énfasis6 4" xfId="261"/>
    <cellStyle name="20% - Énfasis6 4 2" xfId="262"/>
    <cellStyle name="20% - Énfasis6 4_Прайс" xfId="263"/>
    <cellStyle name="20% - Énfasis6 5" xfId="264"/>
    <cellStyle name="20% - Énfasis6_Прайс" xfId="265"/>
    <cellStyle name="20% - Акцент1 2" xfId="266"/>
    <cellStyle name="20% - Акцент1 2 2" xfId="267"/>
    <cellStyle name="20% - Акцент2 2" xfId="268"/>
    <cellStyle name="20% - Акцент2 2 2" xfId="269"/>
    <cellStyle name="20% - Акцент3 2" xfId="270"/>
    <cellStyle name="20% - Акцент3 2 2" xfId="271"/>
    <cellStyle name="20% - Акцент4 2" xfId="272"/>
    <cellStyle name="20% - Акцент4 2 2" xfId="273"/>
    <cellStyle name="20% - Акцент5 2" xfId="274"/>
    <cellStyle name="20% - Акцент5 2 2" xfId="275"/>
    <cellStyle name="20% - Акцент6 2" xfId="276"/>
    <cellStyle name="20% - Акцент6 2 2" xfId="277"/>
    <cellStyle name="40% - Accent1" xfId="278"/>
    <cellStyle name="40% - Accent1 2" xfId="279"/>
    <cellStyle name="40% - Accent1 3" xfId="280"/>
    <cellStyle name="40% - Accent2" xfId="281"/>
    <cellStyle name="40% - Accent2 2" xfId="282"/>
    <cellStyle name="40% - Accent2 3" xfId="283"/>
    <cellStyle name="40% - Accent3" xfId="284"/>
    <cellStyle name="40% - Accent3 2" xfId="285"/>
    <cellStyle name="40% - Accent3 3" xfId="286"/>
    <cellStyle name="40% - Accent4" xfId="287"/>
    <cellStyle name="40% - Accent4 2" xfId="288"/>
    <cellStyle name="40% - Accent4 3" xfId="289"/>
    <cellStyle name="40% - Accent5" xfId="290"/>
    <cellStyle name="40% - Accent5 2" xfId="291"/>
    <cellStyle name="40% - Accent5 3" xfId="292"/>
    <cellStyle name="40% - Accent6" xfId="293"/>
    <cellStyle name="40% - Accent6 2" xfId="294"/>
    <cellStyle name="40% - Accent6 3" xfId="295"/>
    <cellStyle name="40% - Akzent1" xfId="296"/>
    <cellStyle name="40% - Akzent2" xfId="297"/>
    <cellStyle name="40% - Akzent3" xfId="298"/>
    <cellStyle name="40% - Akzent4" xfId="299"/>
    <cellStyle name="40% - Akzent5" xfId="300"/>
    <cellStyle name="40% - Akzent6" xfId="301"/>
    <cellStyle name="40% - Énfasis1" xfId="302"/>
    <cellStyle name="40% - Énfasis1 2" xfId="303"/>
    <cellStyle name="40% - Énfasis1 2 2" xfId="304"/>
    <cellStyle name="40% - Énfasis1 2 3" xfId="305"/>
    <cellStyle name="40% - Énfasis1 2 4" xfId="306"/>
    <cellStyle name="40% - Énfasis1 2_Прайс" xfId="307"/>
    <cellStyle name="40% - Énfasis1 3" xfId="308"/>
    <cellStyle name="40% - Énfasis1 3 2" xfId="309"/>
    <cellStyle name="40% - Énfasis1 3 3" xfId="310"/>
    <cellStyle name="40% - Énfasis1 3_Прайс" xfId="311"/>
    <cellStyle name="40% - Énfasis1 4" xfId="312"/>
    <cellStyle name="40% - Énfasis1 4 2" xfId="313"/>
    <cellStyle name="40% - Énfasis1 4_Прайс" xfId="314"/>
    <cellStyle name="40% - Énfasis1 5" xfId="315"/>
    <cellStyle name="40% - Énfasis1_Прайс" xfId="316"/>
    <cellStyle name="40% - Énfasis2" xfId="317"/>
    <cellStyle name="40% - Énfasis2 2" xfId="318"/>
    <cellStyle name="40% - Énfasis2 2 2" xfId="319"/>
    <cellStyle name="40% - Énfasis2 2 3" xfId="320"/>
    <cellStyle name="40% - Énfasis2 2 4" xfId="321"/>
    <cellStyle name="40% - Énfasis2 2_Прайс" xfId="322"/>
    <cellStyle name="40% - Énfasis2 3" xfId="323"/>
    <cellStyle name="40% - Énfasis2 3 2" xfId="324"/>
    <cellStyle name="40% - Énfasis2 3 3" xfId="325"/>
    <cellStyle name="40% - Énfasis2 3_Прайс" xfId="326"/>
    <cellStyle name="40% - Énfasis2 4" xfId="327"/>
    <cellStyle name="40% - Énfasis2 4 2" xfId="328"/>
    <cellStyle name="40% - Énfasis2 4_Прайс" xfId="329"/>
    <cellStyle name="40% - Énfasis2 5" xfId="330"/>
    <cellStyle name="40% - Énfasis2_Прайс" xfId="331"/>
    <cellStyle name="40% - Énfasis3" xfId="332"/>
    <cellStyle name="40% - Énfasis3 2" xfId="333"/>
    <cellStyle name="40% - Énfasis3 2 2" xfId="334"/>
    <cellStyle name="40% - Énfasis3 2 3" xfId="335"/>
    <cellStyle name="40% - Énfasis3 2 4" xfId="336"/>
    <cellStyle name="40% - Énfasis3 2_Прайс" xfId="337"/>
    <cellStyle name="40% - Énfasis3 3" xfId="338"/>
    <cellStyle name="40% - Énfasis3 3 2" xfId="339"/>
    <cellStyle name="40% - Énfasis3 3 3" xfId="340"/>
    <cellStyle name="40% - Énfasis3 3_Прайс" xfId="341"/>
    <cellStyle name="40% - Énfasis3 4" xfId="342"/>
    <cellStyle name="40% - Énfasis3 4 2" xfId="343"/>
    <cellStyle name="40% - Énfasis3 4_Прайс" xfId="344"/>
    <cellStyle name="40% - Énfasis3 5" xfId="345"/>
    <cellStyle name="40% - Énfasis3_Прайс" xfId="346"/>
    <cellStyle name="40% - Énfasis4" xfId="347"/>
    <cellStyle name="40% - Énfasis4 2" xfId="348"/>
    <cellStyle name="40% - Énfasis4 2 2" xfId="349"/>
    <cellStyle name="40% - Énfasis4 2 3" xfId="350"/>
    <cellStyle name="40% - Énfasis4 2 4" xfId="351"/>
    <cellStyle name="40% - Énfasis4 2_Прайс" xfId="352"/>
    <cellStyle name="40% - Énfasis4 3" xfId="353"/>
    <cellStyle name="40% - Énfasis4 3 2" xfId="354"/>
    <cellStyle name="40% - Énfasis4 3 3" xfId="355"/>
    <cellStyle name="40% - Énfasis4 3_Прайс" xfId="356"/>
    <cellStyle name="40% - Énfasis4 4" xfId="357"/>
    <cellStyle name="40% - Énfasis4 4 2" xfId="358"/>
    <cellStyle name="40% - Énfasis4 4_Прайс" xfId="359"/>
    <cellStyle name="40% - Énfasis4 5" xfId="360"/>
    <cellStyle name="40% - Énfasis4_Прайс" xfId="361"/>
    <cellStyle name="40% - Énfasis5" xfId="362"/>
    <cellStyle name="40% - Énfasis5 2" xfId="363"/>
    <cellStyle name="40% - Énfasis5 2 2" xfId="364"/>
    <cellStyle name="40% - Énfasis5 2 3" xfId="365"/>
    <cellStyle name="40% - Énfasis5 2 4" xfId="366"/>
    <cellStyle name="40% - Énfasis5 2_Прайс" xfId="367"/>
    <cellStyle name="40% - Énfasis5 3" xfId="368"/>
    <cellStyle name="40% - Énfasis5 3 2" xfId="369"/>
    <cellStyle name="40% - Énfasis5 3 3" xfId="370"/>
    <cellStyle name="40% - Énfasis5 3_Прайс" xfId="371"/>
    <cellStyle name="40% - Énfasis5 4" xfId="372"/>
    <cellStyle name="40% - Énfasis5 4 2" xfId="373"/>
    <cellStyle name="40% - Énfasis5 4_Прайс" xfId="374"/>
    <cellStyle name="40% - Énfasis5 5" xfId="375"/>
    <cellStyle name="40% - Énfasis5_Прайс" xfId="376"/>
    <cellStyle name="40% - Énfasis6" xfId="377"/>
    <cellStyle name="40% - Énfasis6 2" xfId="378"/>
    <cellStyle name="40% - Énfasis6 2 2" xfId="379"/>
    <cellStyle name="40% - Énfasis6 2 3" xfId="380"/>
    <cellStyle name="40% - Énfasis6 2 4" xfId="381"/>
    <cellStyle name="40% - Énfasis6 2_Прайс" xfId="382"/>
    <cellStyle name="40% - Énfasis6 3" xfId="383"/>
    <cellStyle name="40% - Énfasis6 3 2" xfId="384"/>
    <cellStyle name="40% - Énfasis6 3 3" xfId="385"/>
    <cellStyle name="40% - Énfasis6 3_Прайс" xfId="386"/>
    <cellStyle name="40% - Énfasis6 4" xfId="387"/>
    <cellStyle name="40% - Énfasis6 4 2" xfId="388"/>
    <cellStyle name="40% - Énfasis6 4_Прайс" xfId="389"/>
    <cellStyle name="40% - Énfasis6 5" xfId="390"/>
    <cellStyle name="40% - Énfasis6_Прайс" xfId="391"/>
    <cellStyle name="40% - Акцент1 2" xfId="392"/>
    <cellStyle name="40% - Акцент1 2 2" xfId="393"/>
    <cellStyle name="40% - Акцент2 2" xfId="394"/>
    <cellStyle name="40% - Акцент2 2 2" xfId="395"/>
    <cellStyle name="40% - Акцент3 2" xfId="396"/>
    <cellStyle name="40% - Акцент3 2 2" xfId="397"/>
    <cellStyle name="40% - Акцент4 2" xfId="398"/>
    <cellStyle name="40% - Акцент4 2 2" xfId="399"/>
    <cellStyle name="40% - Акцент5 2" xfId="400"/>
    <cellStyle name="40% - Акцент5 2 2" xfId="401"/>
    <cellStyle name="40% - Акцент6 2" xfId="402"/>
    <cellStyle name="40% - Акцент6 2 2" xfId="403"/>
    <cellStyle name="60% - Accent1" xfId="404"/>
    <cellStyle name="60% - Accent1 2" xfId="405"/>
    <cellStyle name="60% - Accent2" xfId="406"/>
    <cellStyle name="60% - Accent2 2" xfId="407"/>
    <cellStyle name="60% - Accent3" xfId="408"/>
    <cellStyle name="60% - Accent3 2" xfId="409"/>
    <cellStyle name="60% - Accent4" xfId="410"/>
    <cellStyle name="60% - Accent4 2" xfId="411"/>
    <cellStyle name="60% - Accent5" xfId="412"/>
    <cellStyle name="60% - Accent5 2" xfId="413"/>
    <cellStyle name="60% - Accent6" xfId="414"/>
    <cellStyle name="60% - Accent6 2" xfId="415"/>
    <cellStyle name="60% - Akzent1" xfId="416"/>
    <cellStyle name="60% - Akzent2" xfId="417"/>
    <cellStyle name="60% - Akzent3" xfId="418"/>
    <cellStyle name="60% - Akzent4" xfId="419"/>
    <cellStyle name="60% - Akzent5" xfId="420"/>
    <cellStyle name="60% - Akzent6" xfId="421"/>
    <cellStyle name="60% - Énfasis1" xfId="422"/>
    <cellStyle name="60% - Énfasis1 2" xfId="423"/>
    <cellStyle name="60% - Énfasis1 2 2" xfId="424"/>
    <cellStyle name="60% - Énfasis1 2 3" xfId="425"/>
    <cellStyle name="60% - Énfasis1 2 4" xfId="426"/>
    <cellStyle name="60% - Énfasis1 2_Прайс" xfId="427"/>
    <cellStyle name="60% - Énfasis1 3" xfId="428"/>
    <cellStyle name="60% - Énfasis1 3 2" xfId="429"/>
    <cellStyle name="60% - Énfasis1 3 3" xfId="430"/>
    <cellStyle name="60% - Énfasis1 3_Прайс" xfId="431"/>
    <cellStyle name="60% - Énfasis1 4" xfId="432"/>
    <cellStyle name="60% - Énfasis1 4 2" xfId="433"/>
    <cellStyle name="60% - Énfasis1 4_Прайс" xfId="434"/>
    <cellStyle name="60% - Énfasis1 5" xfId="435"/>
    <cellStyle name="60% - Énfasis1_Прайс" xfId="436"/>
    <cellStyle name="60% - Énfasis2" xfId="437"/>
    <cellStyle name="60% - Énfasis2 2" xfId="438"/>
    <cellStyle name="60% - Énfasis2 2 2" xfId="439"/>
    <cellStyle name="60% - Énfasis2 2 3" xfId="440"/>
    <cellStyle name="60% - Énfasis2 2 4" xfId="441"/>
    <cellStyle name="60% - Énfasis2 2_Прайс" xfId="442"/>
    <cellStyle name="60% - Énfasis2 3" xfId="443"/>
    <cellStyle name="60% - Énfasis2 3 2" xfId="444"/>
    <cellStyle name="60% - Énfasis2 3 3" xfId="445"/>
    <cellStyle name="60% - Énfasis2 3_Прайс" xfId="446"/>
    <cellStyle name="60% - Énfasis2 4" xfId="447"/>
    <cellStyle name="60% - Énfasis2 4 2" xfId="448"/>
    <cellStyle name="60% - Énfasis2 4_Прайс" xfId="449"/>
    <cellStyle name="60% - Énfasis2 5" xfId="450"/>
    <cellStyle name="60% - Énfasis2_Прайс" xfId="451"/>
    <cellStyle name="60% - Énfasis3" xfId="452"/>
    <cellStyle name="60% - Énfasis3 2" xfId="453"/>
    <cellStyle name="60% - Énfasis3 2 2" xfId="454"/>
    <cellStyle name="60% - Énfasis3 2 3" xfId="455"/>
    <cellStyle name="60% - Énfasis3 2 4" xfId="456"/>
    <cellStyle name="60% - Énfasis3 2_Прайс" xfId="457"/>
    <cellStyle name="60% - Énfasis3 3" xfId="458"/>
    <cellStyle name="60% - Énfasis3 3 2" xfId="459"/>
    <cellStyle name="60% - Énfasis3 3 3" xfId="460"/>
    <cellStyle name="60% - Énfasis3 3_Прайс" xfId="461"/>
    <cellStyle name="60% - Énfasis3 4" xfId="462"/>
    <cellStyle name="60% - Énfasis3 4 2" xfId="463"/>
    <cellStyle name="60% - Énfasis3 4_Прайс" xfId="464"/>
    <cellStyle name="60% - Énfasis3 5" xfId="465"/>
    <cellStyle name="60% - Énfasis3_Прайс" xfId="466"/>
    <cellStyle name="60% - Énfasis4" xfId="467"/>
    <cellStyle name="60% - Énfasis4 2" xfId="468"/>
    <cellStyle name="60% - Énfasis4 2 2" xfId="469"/>
    <cellStyle name="60% - Énfasis4 2 3" xfId="470"/>
    <cellStyle name="60% - Énfasis4 2 4" xfId="471"/>
    <cellStyle name="60% - Énfasis4 2_Прайс" xfId="472"/>
    <cellStyle name="60% - Énfasis4 3" xfId="473"/>
    <cellStyle name="60% - Énfasis4 3 2" xfId="474"/>
    <cellStyle name="60% - Énfasis4 3 3" xfId="475"/>
    <cellStyle name="60% - Énfasis4 3_Прайс" xfId="476"/>
    <cellStyle name="60% - Énfasis4 4" xfId="477"/>
    <cellStyle name="60% - Énfasis4 4 2" xfId="478"/>
    <cellStyle name="60% - Énfasis4 4_Прайс" xfId="479"/>
    <cellStyle name="60% - Énfasis4 5" xfId="480"/>
    <cellStyle name="60% - Énfasis4_Прайс" xfId="481"/>
    <cellStyle name="60% - Énfasis5" xfId="482"/>
    <cellStyle name="60% - Énfasis5 2" xfId="483"/>
    <cellStyle name="60% - Énfasis5 2 2" xfId="484"/>
    <cellStyle name="60% - Énfasis5 2 3" xfId="485"/>
    <cellStyle name="60% - Énfasis5 2 4" xfId="486"/>
    <cellStyle name="60% - Énfasis5 2_Прайс" xfId="487"/>
    <cellStyle name="60% - Énfasis5 3" xfId="488"/>
    <cellStyle name="60% - Énfasis5 3 2" xfId="489"/>
    <cellStyle name="60% - Énfasis5 3 3" xfId="490"/>
    <cellStyle name="60% - Énfasis5 3_Прайс" xfId="491"/>
    <cellStyle name="60% - Énfasis5 4" xfId="492"/>
    <cellStyle name="60% - Énfasis5 4 2" xfId="493"/>
    <cellStyle name="60% - Énfasis5 4_Прайс" xfId="494"/>
    <cellStyle name="60% - Énfasis5 5" xfId="495"/>
    <cellStyle name="60% - Énfasis5_Прайс" xfId="496"/>
    <cellStyle name="60% - Énfasis6" xfId="497"/>
    <cellStyle name="60% - Énfasis6 2" xfId="498"/>
    <cellStyle name="60% - Énfasis6 2 2" xfId="499"/>
    <cellStyle name="60% - Énfasis6 2 3" xfId="500"/>
    <cellStyle name="60% - Énfasis6 2 4" xfId="501"/>
    <cellStyle name="60% - Énfasis6 2_Прайс" xfId="502"/>
    <cellStyle name="60% - Énfasis6 3" xfId="503"/>
    <cellStyle name="60% - Énfasis6 3 2" xfId="504"/>
    <cellStyle name="60% - Énfasis6 3 3" xfId="505"/>
    <cellStyle name="60% - Énfasis6 3_Прайс" xfId="506"/>
    <cellStyle name="60% - Énfasis6 4" xfId="507"/>
    <cellStyle name="60% - Énfasis6 4 2" xfId="508"/>
    <cellStyle name="60% - Énfasis6 4_Прайс" xfId="509"/>
    <cellStyle name="60% - Énfasis6 5" xfId="510"/>
    <cellStyle name="60% - Énfasis6_Прайс" xfId="511"/>
    <cellStyle name="60% - Акцент1 2" xfId="512"/>
    <cellStyle name="60% - Акцент2 2" xfId="513"/>
    <cellStyle name="60% - Акцент3 2" xfId="514"/>
    <cellStyle name="60% - Акцент4 2" xfId="515"/>
    <cellStyle name="60% - Акцент5 2" xfId="516"/>
    <cellStyle name="60% - Акцент6 2" xfId="517"/>
    <cellStyle name="Accent1" xfId="518"/>
    <cellStyle name="Accent1 - 20%" xfId="519"/>
    <cellStyle name="Accent1 - 40%" xfId="520"/>
    <cellStyle name="Accent1 - 60%" xfId="521"/>
    <cellStyle name="Accent1 10" xfId="522"/>
    <cellStyle name="Accent1 11" xfId="523"/>
    <cellStyle name="Accent1 12" xfId="524"/>
    <cellStyle name="Accent1 13" xfId="525"/>
    <cellStyle name="Accent1 14" xfId="526"/>
    <cellStyle name="Accent1 15" xfId="527"/>
    <cellStyle name="Accent1 16" xfId="528"/>
    <cellStyle name="Accent1 2" xfId="529"/>
    <cellStyle name="Accent1 3" xfId="530"/>
    <cellStyle name="Accent1 4" xfId="531"/>
    <cellStyle name="Accent1 5" xfId="532"/>
    <cellStyle name="Accent1 6" xfId="533"/>
    <cellStyle name="Accent1 7" xfId="534"/>
    <cellStyle name="Accent1 8" xfId="535"/>
    <cellStyle name="Accent1 9" xfId="536"/>
    <cellStyle name="Accent2" xfId="537"/>
    <cellStyle name="Accent2 - 20%" xfId="538"/>
    <cellStyle name="Accent2 - 40%" xfId="539"/>
    <cellStyle name="Accent2 - 60%" xfId="540"/>
    <cellStyle name="Accent2 10" xfId="541"/>
    <cellStyle name="Accent2 11" xfId="542"/>
    <cellStyle name="Accent2 12" xfId="543"/>
    <cellStyle name="Accent2 13" xfId="544"/>
    <cellStyle name="Accent2 14" xfId="545"/>
    <cellStyle name="Accent2 15" xfId="546"/>
    <cellStyle name="Accent2 16" xfId="547"/>
    <cellStyle name="Accent2 2" xfId="548"/>
    <cellStyle name="Accent2 3" xfId="549"/>
    <cellStyle name="Accent2 4" xfId="550"/>
    <cellStyle name="Accent2 5" xfId="551"/>
    <cellStyle name="Accent2 6" xfId="552"/>
    <cellStyle name="Accent2 7" xfId="553"/>
    <cellStyle name="Accent2 8" xfId="554"/>
    <cellStyle name="Accent2 9" xfId="555"/>
    <cellStyle name="Accent3" xfId="556"/>
    <cellStyle name="Accent3 - 20%" xfId="557"/>
    <cellStyle name="Accent3 - 40%" xfId="558"/>
    <cellStyle name="Accent3 - 60%" xfId="559"/>
    <cellStyle name="Accent3 10" xfId="560"/>
    <cellStyle name="Accent3 11" xfId="561"/>
    <cellStyle name="Accent3 12" xfId="562"/>
    <cellStyle name="Accent3 13" xfId="563"/>
    <cellStyle name="Accent3 14" xfId="564"/>
    <cellStyle name="Accent3 15" xfId="565"/>
    <cellStyle name="Accent3 16" xfId="566"/>
    <cellStyle name="Accent3 2" xfId="567"/>
    <cellStyle name="Accent3 3" xfId="568"/>
    <cellStyle name="Accent3 4" xfId="569"/>
    <cellStyle name="Accent3 5" xfId="570"/>
    <cellStyle name="Accent3 6" xfId="571"/>
    <cellStyle name="Accent3 7" xfId="572"/>
    <cellStyle name="Accent3 8" xfId="573"/>
    <cellStyle name="Accent3 9" xfId="574"/>
    <cellStyle name="Accent4" xfId="575"/>
    <cellStyle name="Accent4 - 20%" xfId="576"/>
    <cellStyle name="Accent4 - 40%" xfId="577"/>
    <cellStyle name="Accent4 - 60%" xfId="578"/>
    <cellStyle name="Accent4 10" xfId="579"/>
    <cellStyle name="Accent4 11" xfId="580"/>
    <cellStyle name="Accent4 12" xfId="581"/>
    <cellStyle name="Accent4 13" xfId="582"/>
    <cellStyle name="Accent4 14" xfId="583"/>
    <cellStyle name="Accent4 15" xfId="584"/>
    <cellStyle name="Accent4 16" xfId="585"/>
    <cellStyle name="Accent4 2" xfId="586"/>
    <cellStyle name="Accent4 3" xfId="587"/>
    <cellStyle name="Accent4 4" xfId="588"/>
    <cellStyle name="Accent4 5" xfId="589"/>
    <cellStyle name="Accent4 6" xfId="590"/>
    <cellStyle name="Accent4 7" xfId="591"/>
    <cellStyle name="Accent4 8" xfId="592"/>
    <cellStyle name="Accent4 9" xfId="593"/>
    <cellStyle name="Accent5" xfId="594"/>
    <cellStyle name="Accent5 - 20%" xfId="595"/>
    <cellStyle name="Accent5 - 40%" xfId="596"/>
    <cellStyle name="Accent5 - 60%" xfId="597"/>
    <cellStyle name="Accent5 10" xfId="598"/>
    <cellStyle name="Accent5 11" xfId="599"/>
    <cellStyle name="Accent5 12" xfId="600"/>
    <cellStyle name="Accent5 13" xfId="601"/>
    <cellStyle name="Accent5 14" xfId="602"/>
    <cellStyle name="Accent5 15" xfId="603"/>
    <cellStyle name="Accent5 16" xfId="604"/>
    <cellStyle name="Accent5 2" xfId="605"/>
    <cellStyle name="Accent5 3" xfId="606"/>
    <cellStyle name="Accent5 4" xfId="607"/>
    <cellStyle name="Accent5 5" xfId="608"/>
    <cellStyle name="Accent5 6" xfId="609"/>
    <cellStyle name="Accent5 7" xfId="610"/>
    <cellStyle name="Accent5 8" xfId="611"/>
    <cellStyle name="Accent5 9" xfId="612"/>
    <cellStyle name="Accent6" xfId="613"/>
    <cellStyle name="Accent6 - 20%" xfId="614"/>
    <cellStyle name="Accent6 - 40%" xfId="615"/>
    <cellStyle name="Accent6 - 60%" xfId="616"/>
    <cellStyle name="Accent6 10" xfId="617"/>
    <cellStyle name="Accent6 11" xfId="618"/>
    <cellStyle name="Accent6 12" xfId="619"/>
    <cellStyle name="Accent6 13" xfId="620"/>
    <cellStyle name="Accent6 14" xfId="621"/>
    <cellStyle name="Accent6 15" xfId="622"/>
    <cellStyle name="Accent6 16" xfId="623"/>
    <cellStyle name="Accent6 2" xfId="624"/>
    <cellStyle name="Accent6 3" xfId="625"/>
    <cellStyle name="Accent6 4" xfId="626"/>
    <cellStyle name="Accent6 5" xfId="627"/>
    <cellStyle name="Accent6 6" xfId="628"/>
    <cellStyle name="Accent6 7" xfId="629"/>
    <cellStyle name="Accent6 8" xfId="630"/>
    <cellStyle name="Accent6 9" xfId="631"/>
    <cellStyle name="Akzent1" xfId="632"/>
    <cellStyle name="Akzent2" xfId="633"/>
    <cellStyle name="Akzent3" xfId="634"/>
    <cellStyle name="Akzent4" xfId="635"/>
    <cellStyle name="Akzent5" xfId="636"/>
    <cellStyle name="Akzent6" xfId="637"/>
    <cellStyle name="args.style" xfId="638"/>
    <cellStyle name="Ausgabe" xfId="639"/>
    <cellStyle name="Ausgabe 2" xfId="640"/>
    <cellStyle name="Bad" xfId="641"/>
    <cellStyle name="Bad 2" xfId="642"/>
    <cellStyle name="Berechnung" xfId="643"/>
    <cellStyle name="Berechnung 2" xfId="644"/>
    <cellStyle name="blank" xfId="645"/>
    <cellStyle name="blank - Style1" xfId="646"/>
    <cellStyle name="Buena" xfId="647"/>
    <cellStyle name="Buena 2" xfId="648"/>
    <cellStyle name="Buena 2 2" xfId="649"/>
    <cellStyle name="Buena 2 3" xfId="650"/>
    <cellStyle name="Buena 2 4" xfId="651"/>
    <cellStyle name="Buena 2_Прайс" xfId="652"/>
    <cellStyle name="Buena 3" xfId="653"/>
    <cellStyle name="Buena 3 2" xfId="654"/>
    <cellStyle name="Buena 3 3" xfId="655"/>
    <cellStyle name="Buena 3_Прайс" xfId="656"/>
    <cellStyle name="Buena 4" xfId="657"/>
    <cellStyle name="Buena 4 2" xfId="658"/>
    <cellStyle name="Buena 4_Прайс" xfId="659"/>
    <cellStyle name="Buena 5" xfId="660"/>
    <cellStyle name="Buena_Прайс" xfId="661"/>
    <cellStyle name="Calc Currency (0)" xfId="662"/>
    <cellStyle name="Calc Currency (2)" xfId="663"/>
    <cellStyle name="Calc Percent (0)" xfId="664"/>
    <cellStyle name="Calc Percent (1)" xfId="665"/>
    <cellStyle name="Calc Percent (2)" xfId="666"/>
    <cellStyle name="Calc Units (0)" xfId="667"/>
    <cellStyle name="Calc Units (1)" xfId="668"/>
    <cellStyle name="Calc Units (2)" xfId="669"/>
    <cellStyle name="Calculation" xfId="670"/>
    <cellStyle name="Calculation 2" xfId="671"/>
    <cellStyle name="Calculation 2 2" xfId="672"/>
    <cellStyle name="Calculation 3" xfId="673"/>
    <cellStyle name="Cálculo" xfId="674"/>
    <cellStyle name="Cálculo 2" xfId="675"/>
    <cellStyle name="Cálculo 2 2" xfId="676"/>
    <cellStyle name="Cálculo 2 2 2" xfId="677"/>
    <cellStyle name="Cálculo 2 3" xfId="678"/>
    <cellStyle name="Cálculo 2 3 2" xfId="679"/>
    <cellStyle name="Cálculo 2 4" xfId="680"/>
    <cellStyle name="Cálculo 2 4 2" xfId="681"/>
    <cellStyle name="Cálculo 2 5" xfId="682"/>
    <cellStyle name="Cálculo 2_Прайс" xfId="683"/>
    <cellStyle name="Cálculo 3" xfId="684"/>
    <cellStyle name="Cálculo 3 2" xfId="685"/>
    <cellStyle name="Cálculo 3 2 2" xfId="686"/>
    <cellStyle name="Cálculo 3 3" xfId="687"/>
    <cellStyle name="Cálculo 3 3 2" xfId="688"/>
    <cellStyle name="Cálculo 3 4" xfId="689"/>
    <cellStyle name="Cálculo 3_Прайс" xfId="690"/>
    <cellStyle name="Cálculo 4" xfId="691"/>
    <cellStyle name="Cálculo 4 2" xfId="692"/>
    <cellStyle name="Cálculo 4 2 2" xfId="693"/>
    <cellStyle name="Cálculo 4 3" xfId="694"/>
    <cellStyle name="Cálculo 4_Прайс" xfId="695"/>
    <cellStyle name="Cálculo 5" xfId="696"/>
    <cellStyle name="Cálculo 5 2" xfId="697"/>
    <cellStyle name="Cálculo 6" xfId="698"/>
    <cellStyle name="Cálculo_Прайс" xfId="699"/>
    <cellStyle name="Celda de comprobación" xfId="700"/>
    <cellStyle name="Celda de comprobación 2" xfId="701"/>
    <cellStyle name="Celda de comprobación 2 2" xfId="702"/>
    <cellStyle name="Celda de comprobación 2 3" xfId="703"/>
    <cellStyle name="Celda de comprobación 2 4" xfId="704"/>
    <cellStyle name="Celda de comprobación 2_Прайс" xfId="705"/>
    <cellStyle name="Celda de comprobación 3" xfId="706"/>
    <cellStyle name="Celda de comprobación 3 2" xfId="707"/>
    <cellStyle name="Celda de comprobación 3 3" xfId="708"/>
    <cellStyle name="Celda de comprobación 3_Прайс" xfId="709"/>
    <cellStyle name="Celda de comprobación 4" xfId="710"/>
    <cellStyle name="Celda de comprobación 4 2" xfId="711"/>
    <cellStyle name="Celda de comprobación 4_Прайс" xfId="712"/>
    <cellStyle name="Celda de comprobación 5" xfId="713"/>
    <cellStyle name="Celda de comprobación_Прайс" xfId="714"/>
    <cellStyle name="Celda vinculada" xfId="715"/>
    <cellStyle name="Celda vinculada 2" xfId="716"/>
    <cellStyle name="Celda vinculada 2 2" xfId="717"/>
    <cellStyle name="Celda vinculada 2 3" xfId="718"/>
    <cellStyle name="Celda vinculada 2 4" xfId="719"/>
    <cellStyle name="Celda vinculada 2_Прайс" xfId="720"/>
    <cellStyle name="Celda vinculada 3" xfId="721"/>
    <cellStyle name="Celda vinculada 3 2" xfId="722"/>
    <cellStyle name="Celda vinculada 3 3" xfId="723"/>
    <cellStyle name="Celda vinculada 3_Прайс" xfId="724"/>
    <cellStyle name="Celda vinculada 4" xfId="725"/>
    <cellStyle name="Celda vinculada 4 2" xfId="726"/>
    <cellStyle name="Celda vinculada 4_Прайс" xfId="727"/>
    <cellStyle name="Celda vinculada 5" xfId="728"/>
    <cellStyle name="Celda vinculada_Прайс" xfId="729"/>
    <cellStyle name="Check Cell" xfId="730"/>
    <cellStyle name="Check Cell 2" xfId="731"/>
    <cellStyle name="Code" xfId="732"/>
    <cellStyle name="Comma  - Style2" xfId="733"/>
    <cellStyle name="Comma  - Style3" xfId="734"/>
    <cellStyle name="Comma  - Style4" xfId="735"/>
    <cellStyle name="Comma  - Style5" xfId="736"/>
    <cellStyle name="Comma  - Style6" xfId="737"/>
    <cellStyle name="Comma  - Style7" xfId="738"/>
    <cellStyle name="Comma  - Style8" xfId="739"/>
    <cellStyle name="Comma [0] 2" xfId="740"/>
    <cellStyle name="Comma [0]_ECO-i order sheet 2011" xfId="741"/>
    <cellStyle name="Comma [00]" xfId="742"/>
    <cellStyle name="Comma_2005 AHI CARRIER NAO ACCESSORIES  LIST PRICE YEAR 2005" xfId="743"/>
    <cellStyle name="Comma0" xfId="744"/>
    <cellStyle name="Copied" xfId="745"/>
    <cellStyle name="Currency [0]_irl tel sep5" xfId="746"/>
    <cellStyle name="Currency [00]" xfId="747"/>
    <cellStyle name="Currency_irl tel sep5" xfId="748"/>
    <cellStyle name="Currency0" xfId="749"/>
    <cellStyle name="Date Short" xfId="750"/>
    <cellStyle name="DELTA" xfId="751"/>
    <cellStyle name="Eingabe" xfId="752"/>
    <cellStyle name="Eingabe 2" xfId="753"/>
    <cellStyle name="Emphasis 1" xfId="754"/>
    <cellStyle name="Emphasis 2" xfId="755"/>
    <cellStyle name="Emphasis 3" xfId="756"/>
    <cellStyle name="Encabezado 4" xfId="757"/>
    <cellStyle name="Encabezado 4 2" xfId="758"/>
    <cellStyle name="Encabezado 4 2 2" xfId="759"/>
    <cellStyle name="Encabezado 4 2 3" xfId="760"/>
    <cellStyle name="Encabezado 4 2 4" xfId="761"/>
    <cellStyle name="Encabezado 4 2_Прайс" xfId="762"/>
    <cellStyle name="Encabezado 4 3" xfId="763"/>
    <cellStyle name="Encabezado 4 3 2" xfId="764"/>
    <cellStyle name="Encabezado 4 3 3" xfId="765"/>
    <cellStyle name="Encabezado 4 3_Прайс" xfId="766"/>
    <cellStyle name="Encabezado 4 4" xfId="767"/>
    <cellStyle name="Encabezado 4 4 2" xfId="768"/>
    <cellStyle name="Encabezado 4 4_Прайс" xfId="769"/>
    <cellStyle name="Encabezado 4 5" xfId="770"/>
    <cellStyle name="Encabezado 4_Прайс" xfId="771"/>
    <cellStyle name="Énfasis1" xfId="772"/>
    <cellStyle name="Énfasis1 2" xfId="773"/>
    <cellStyle name="Énfasis1 2 2" xfId="774"/>
    <cellStyle name="Énfasis1 2 3" xfId="775"/>
    <cellStyle name="Énfasis1 2 4" xfId="776"/>
    <cellStyle name="Énfasis1 2_Прайс" xfId="777"/>
    <cellStyle name="Énfasis1 3" xfId="778"/>
    <cellStyle name="Énfasis1 3 2" xfId="779"/>
    <cellStyle name="Énfasis1 3 3" xfId="780"/>
    <cellStyle name="Énfasis1 3_Прайс" xfId="781"/>
    <cellStyle name="Énfasis1 4" xfId="782"/>
    <cellStyle name="Énfasis1 4 2" xfId="783"/>
    <cellStyle name="Énfasis1 4_Прайс" xfId="784"/>
    <cellStyle name="Énfasis1 5" xfId="785"/>
    <cellStyle name="Énfasis1_Прайс" xfId="786"/>
    <cellStyle name="Énfasis2" xfId="787"/>
    <cellStyle name="Énfasis2 2" xfId="788"/>
    <cellStyle name="Énfasis2 2 2" xfId="789"/>
    <cellStyle name="Énfasis2 2 3" xfId="790"/>
    <cellStyle name="Énfasis2 2 4" xfId="791"/>
    <cellStyle name="Énfasis2 2_Прайс" xfId="792"/>
    <cellStyle name="Énfasis2 3" xfId="793"/>
    <cellStyle name="Énfasis2 3 2" xfId="794"/>
    <cellStyle name="Énfasis2 3 3" xfId="795"/>
    <cellStyle name="Énfasis2 3_Прайс" xfId="796"/>
    <cellStyle name="Énfasis2 4" xfId="797"/>
    <cellStyle name="Énfasis2 4 2" xfId="798"/>
    <cellStyle name="Énfasis2 4_Прайс" xfId="799"/>
    <cellStyle name="Énfasis2 5" xfId="800"/>
    <cellStyle name="Énfasis2_Прайс" xfId="801"/>
    <cellStyle name="Énfasis3" xfId="802"/>
    <cellStyle name="Énfasis3 2" xfId="803"/>
    <cellStyle name="Énfasis3 2 2" xfId="804"/>
    <cellStyle name="Énfasis3 2 3" xfId="805"/>
    <cellStyle name="Énfasis3 2 4" xfId="806"/>
    <cellStyle name="Énfasis3 2_Прайс" xfId="807"/>
    <cellStyle name="Énfasis3 3" xfId="808"/>
    <cellStyle name="Énfasis3 3 2" xfId="809"/>
    <cellStyle name="Énfasis3 3 3" xfId="810"/>
    <cellStyle name="Énfasis3 3_Прайс" xfId="811"/>
    <cellStyle name="Énfasis3 4" xfId="812"/>
    <cellStyle name="Énfasis3 4 2" xfId="813"/>
    <cellStyle name="Énfasis3 4_Прайс" xfId="814"/>
    <cellStyle name="Énfasis3 5" xfId="815"/>
    <cellStyle name="Énfasis3_Прайс" xfId="816"/>
    <cellStyle name="Énfasis4" xfId="817"/>
    <cellStyle name="Énfasis4 2" xfId="818"/>
    <cellStyle name="Énfasis4 2 2" xfId="819"/>
    <cellStyle name="Énfasis4 2 3" xfId="820"/>
    <cellStyle name="Énfasis4 2 4" xfId="821"/>
    <cellStyle name="Énfasis4 2_Прайс" xfId="822"/>
    <cellStyle name="Énfasis4 3" xfId="823"/>
    <cellStyle name="Énfasis4 3 2" xfId="824"/>
    <cellStyle name="Énfasis4 3 3" xfId="825"/>
    <cellStyle name="Énfasis4 3_Прайс" xfId="826"/>
    <cellStyle name="Énfasis4 4" xfId="827"/>
    <cellStyle name="Énfasis4 4 2" xfId="828"/>
    <cellStyle name="Énfasis4 4_Прайс" xfId="829"/>
    <cellStyle name="Énfasis4 5" xfId="830"/>
    <cellStyle name="Énfasis4_Прайс" xfId="831"/>
    <cellStyle name="Énfasis5" xfId="832"/>
    <cellStyle name="Énfasis5 2" xfId="833"/>
    <cellStyle name="Énfasis5 2 2" xfId="834"/>
    <cellStyle name="Énfasis5 2 3" xfId="835"/>
    <cellStyle name="Énfasis5 2 4" xfId="836"/>
    <cellStyle name="Énfasis5 2_Прайс" xfId="837"/>
    <cellStyle name="Énfasis5 3" xfId="838"/>
    <cellStyle name="Énfasis5 3 2" xfId="839"/>
    <cellStyle name="Énfasis5 3 3" xfId="840"/>
    <cellStyle name="Énfasis5 3_Прайс" xfId="841"/>
    <cellStyle name="Énfasis5 4" xfId="842"/>
    <cellStyle name="Énfasis5 4 2" xfId="843"/>
    <cellStyle name="Énfasis5 4_Прайс" xfId="844"/>
    <cellStyle name="Énfasis5 5" xfId="845"/>
    <cellStyle name="Énfasis5_Прайс" xfId="846"/>
    <cellStyle name="Énfasis6" xfId="847"/>
    <cellStyle name="Énfasis6 2" xfId="848"/>
    <cellStyle name="Énfasis6 2 2" xfId="849"/>
    <cellStyle name="Énfasis6 2 3" xfId="850"/>
    <cellStyle name="Énfasis6 2 4" xfId="851"/>
    <cellStyle name="Énfasis6 2_Прайс" xfId="852"/>
    <cellStyle name="Énfasis6 3" xfId="853"/>
    <cellStyle name="Énfasis6 3 2" xfId="854"/>
    <cellStyle name="Énfasis6 3 3" xfId="855"/>
    <cellStyle name="Énfasis6 3_Прайс" xfId="856"/>
    <cellStyle name="Énfasis6 4" xfId="857"/>
    <cellStyle name="Énfasis6 4 2" xfId="858"/>
    <cellStyle name="Énfasis6 4_Прайс" xfId="859"/>
    <cellStyle name="Énfasis6 5" xfId="860"/>
    <cellStyle name="Énfasis6_Прайс" xfId="861"/>
    <cellStyle name="Enter Currency (0)" xfId="862"/>
    <cellStyle name="Enter Currency (2)" xfId="863"/>
    <cellStyle name="Enter Units (0)" xfId="864"/>
    <cellStyle name="Enter Units (1)" xfId="865"/>
    <cellStyle name="Enter Units (2)" xfId="866"/>
    <cellStyle name="Entered" xfId="867"/>
    <cellStyle name="Entrada" xfId="868"/>
    <cellStyle name="Entrada 2" xfId="869"/>
    <cellStyle name="Entrada 2 2" xfId="870"/>
    <cellStyle name="Entrada 2 2 2" xfId="871"/>
    <cellStyle name="Entrada 2 3" xfId="872"/>
    <cellStyle name="Entrada 2 3 2" xfId="873"/>
    <cellStyle name="Entrada 2 4" xfId="874"/>
    <cellStyle name="Entrada 2 4 2" xfId="875"/>
    <cellStyle name="Entrada 2 5" xfId="876"/>
    <cellStyle name="Entrada 2_Прайс" xfId="877"/>
    <cellStyle name="Entrada 3" xfId="878"/>
    <cellStyle name="Entrada 3 2" xfId="879"/>
    <cellStyle name="Entrada 3 2 2" xfId="880"/>
    <cellStyle name="Entrada 3 3" xfId="881"/>
    <cellStyle name="Entrada 3 3 2" xfId="882"/>
    <cellStyle name="Entrada 3 4" xfId="883"/>
    <cellStyle name="Entrada 3_Прайс" xfId="884"/>
    <cellStyle name="Entrada 4" xfId="885"/>
    <cellStyle name="Entrada 4 2" xfId="886"/>
    <cellStyle name="Entrada 4 2 2" xfId="887"/>
    <cellStyle name="Entrada 4 3" xfId="888"/>
    <cellStyle name="Entrada 4_Прайс" xfId="889"/>
    <cellStyle name="Entrada 5" xfId="890"/>
    <cellStyle name="Entrada 5 2" xfId="891"/>
    <cellStyle name="Entrada 6" xfId="892"/>
    <cellStyle name="Entrada_Прайс" xfId="893"/>
    <cellStyle name="Ergebnis" xfId="894"/>
    <cellStyle name="Ergebnis 2" xfId="895"/>
    <cellStyle name="Erklärender Text" xfId="896"/>
    <cellStyle name="Estilo 1" xfId="897"/>
    <cellStyle name="Estilo 1 2" xfId="898"/>
    <cellStyle name="Estilo 1 3" xfId="899"/>
    <cellStyle name="Estilo 1 4" xfId="900"/>
    <cellStyle name="Estilo 1 5" xfId="901"/>
    <cellStyle name="Estilo 1 6" xfId="902"/>
    <cellStyle name="Estilo 1 7" xfId="903"/>
    <cellStyle name="Estilo 1 8" xfId="904"/>
    <cellStyle name="Estilo 1_price Climatech" xfId="905"/>
    <cellStyle name="Euro" xfId="906"/>
    <cellStyle name="Euro 2" xfId="907"/>
    <cellStyle name="Euro 3" xfId="908"/>
    <cellStyle name="Euro_Книга5" xfId="909"/>
    <cellStyle name="Explanatory Text" xfId="910"/>
    <cellStyle name="Explanatory Text 2" xfId="911"/>
    <cellStyle name="G10" xfId="912"/>
    <cellStyle name="Good" xfId="913"/>
    <cellStyle name="Good 2" xfId="914"/>
    <cellStyle name="Grey" xfId="915"/>
    <cellStyle name="Gut" xfId="916"/>
    <cellStyle name="Header" xfId="917"/>
    <cellStyle name="Header1" xfId="918"/>
    <cellStyle name="Header2" xfId="919"/>
    <cellStyle name="Heading 1" xfId="920"/>
    <cellStyle name="Heading 1 2" xfId="921"/>
    <cellStyle name="Heading 2" xfId="922"/>
    <cellStyle name="Heading 2 2" xfId="923"/>
    <cellStyle name="Heading 3" xfId="924"/>
    <cellStyle name="Heading 3 2" xfId="925"/>
    <cellStyle name="Heading 4" xfId="926"/>
    <cellStyle name="Heading 4 2" xfId="927"/>
    <cellStyle name="HEADINGS" xfId="928"/>
    <cellStyle name="HEADINGSTOP" xfId="929"/>
    <cellStyle name="Horizontal" xfId="930"/>
    <cellStyle name="Hyperlink 2" xfId="931"/>
    <cellStyle name="Incorrecto" xfId="932"/>
    <cellStyle name="Incorrecto 2" xfId="933"/>
    <cellStyle name="Incorrecto 2 2" xfId="934"/>
    <cellStyle name="Incorrecto 2 3" xfId="935"/>
    <cellStyle name="Incorrecto 2 4" xfId="936"/>
    <cellStyle name="Incorrecto 2_Прайс" xfId="937"/>
    <cellStyle name="Incorrecto 3" xfId="938"/>
    <cellStyle name="Incorrecto 3 2" xfId="939"/>
    <cellStyle name="Incorrecto 3 3" xfId="940"/>
    <cellStyle name="Incorrecto 3_Прайс" xfId="941"/>
    <cellStyle name="Incorrecto 4" xfId="942"/>
    <cellStyle name="Incorrecto 4 2" xfId="943"/>
    <cellStyle name="Incorrecto 4_Прайс" xfId="944"/>
    <cellStyle name="Incorrecto 5" xfId="945"/>
    <cellStyle name="Incorrecto_Прайс" xfId="946"/>
    <cellStyle name="Input" xfId="947"/>
    <cellStyle name="Input [yellow]" xfId="948"/>
    <cellStyle name="Input 2" xfId="949"/>
    <cellStyle name="Input 2 2" xfId="950"/>
    <cellStyle name="Input 3" xfId="951"/>
    <cellStyle name="Link Currency (0)" xfId="952"/>
    <cellStyle name="Link Currency (2)" xfId="953"/>
    <cellStyle name="Link Units (0)" xfId="954"/>
    <cellStyle name="Link Units (1)" xfId="955"/>
    <cellStyle name="Link Units (2)" xfId="956"/>
    <cellStyle name="Linked Cell" xfId="957"/>
    <cellStyle name="Linked Cell 2" xfId="958"/>
    <cellStyle name="Matrix" xfId="959"/>
    <cellStyle name="Migliaia (0)_PortF2k" xfId="960"/>
    <cellStyle name="Millares [0]" xfId="961"/>
    <cellStyle name="Moneda [0]" xfId="962"/>
    <cellStyle name="Neutral" xfId="963"/>
    <cellStyle name="Neutral 2" xfId="964"/>
    <cellStyle name="Neutral 2 2" xfId="965"/>
    <cellStyle name="Neutral 2 3" xfId="966"/>
    <cellStyle name="Neutral 2 4" xfId="967"/>
    <cellStyle name="Neutral 2_Прайс" xfId="968"/>
    <cellStyle name="Neutral 3" xfId="969"/>
    <cellStyle name="Neutral 3 2" xfId="970"/>
    <cellStyle name="Neutral 3 3" xfId="971"/>
    <cellStyle name="Neutral 3_Прайс" xfId="972"/>
    <cellStyle name="Neutral 4" xfId="973"/>
    <cellStyle name="Neutral 4 2" xfId="974"/>
    <cellStyle name="Neutral 4_Прайс" xfId="975"/>
    <cellStyle name="Neutral 5" xfId="976"/>
    <cellStyle name="Neutral 6" xfId="977"/>
    <cellStyle name="Neutral_Книга5" xfId="978"/>
    <cellStyle name="Normal - Style1" xfId="979"/>
    <cellStyle name="Normal 11" xfId="980"/>
    <cellStyle name="Normal 13" xfId="981"/>
    <cellStyle name="Normal 15" xfId="982"/>
    <cellStyle name="Normal 2" xfId="983"/>
    <cellStyle name="Normal 2 2" xfId="984"/>
    <cellStyle name="Normal 2 3" xfId="985"/>
    <cellStyle name="Normal 2 4" xfId="986"/>
    <cellStyle name="Normal 2 5" xfId="987"/>
    <cellStyle name="Normal 2 6" xfId="988"/>
    <cellStyle name="Normal 2 6 2" xfId="1637"/>
    <cellStyle name="Normal 2 6 2 2" xfId="1956"/>
    <cellStyle name="Normal 2 6 3" xfId="1801"/>
    <cellStyle name="Normal 2 7" xfId="989"/>
    <cellStyle name="Normal 2 7 2" xfId="1638"/>
    <cellStyle name="Normal 3" xfId="990"/>
    <cellStyle name="Normal 3 2" xfId="991"/>
    <cellStyle name="Normal 3 3" xfId="992"/>
    <cellStyle name="Normal 3 4" xfId="993"/>
    <cellStyle name="Normal 3 5" xfId="994"/>
    <cellStyle name="Normal 3 5 2" xfId="995"/>
    <cellStyle name="Normal 4" xfId="996"/>
    <cellStyle name="Normal 4 2" xfId="997"/>
    <cellStyle name="Normal 4 3" xfId="998"/>
    <cellStyle name="Normal 5" xfId="999"/>
    <cellStyle name="Normal 5 2" xfId="1000"/>
    <cellStyle name="Normal 5 3" xfId="1001"/>
    <cellStyle name="Normal 5_Прайс Альянс (VRF NEOCLIMA) декабрь 2011" xfId="1002"/>
    <cellStyle name="Normal 6" xfId="1003"/>
    <cellStyle name="Normal 6 2" xfId="1004"/>
    <cellStyle name="Normal 7" xfId="1005"/>
    <cellStyle name="Normal 8" xfId="1006"/>
    <cellStyle name="Normal 9" xfId="1007"/>
    <cellStyle name="Normal_AIRWELL" xfId="1008"/>
    <cellStyle name="Normál_SHG Products Dimention" xfId="1009"/>
    <cellStyle name="Normal_SPLIT" xfId="1010"/>
    <cellStyle name="normбlnм_laroux" xfId="1011"/>
    <cellStyle name="Notas" xfId="1012"/>
    <cellStyle name="Notas 2" xfId="1013"/>
    <cellStyle name="Notas 2 2" xfId="1014"/>
    <cellStyle name="Notas 2 2 2" xfId="1015"/>
    <cellStyle name="Notas 2 3" xfId="1016"/>
    <cellStyle name="Notas 2 3 2" xfId="1017"/>
    <cellStyle name="Notas 2 4" xfId="1018"/>
    <cellStyle name="Notas 2 4 2" xfId="1019"/>
    <cellStyle name="Notas 2 5" xfId="1020"/>
    <cellStyle name="Notas 3" xfId="1021"/>
    <cellStyle name="Notas 3 2" xfId="1022"/>
    <cellStyle name="Notas 3 2 2" xfId="1023"/>
    <cellStyle name="Notas 3 3" xfId="1024"/>
    <cellStyle name="Notas 3 3 2" xfId="1025"/>
    <cellStyle name="Notas 3 4" xfId="1026"/>
    <cellStyle name="Notas 4" xfId="1027"/>
    <cellStyle name="Notas 4 2" xfId="1028"/>
    <cellStyle name="Notas 4 2 2" xfId="1029"/>
    <cellStyle name="Notas 4 3" xfId="1030"/>
    <cellStyle name="Notas 5" xfId="1031"/>
    <cellStyle name="Notas 5 2" xfId="1032"/>
    <cellStyle name="Notas 6" xfId="1033"/>
    <cellStyle name="Note" xfId="1034"/>
    <cellStyle name="Note 2" xfId="1035"/>
    <cellStyle name="Note 2 2" xfId="1036"/>
    <cellStyle name="Note 3" xfId="1037"/>
    <cellStyle name="Note 3 2" xfId="1640"/>
    <cellStyle name="Note 4" xfId="1639"/>
    <cellStyle name="Notiz" xfId="1038"/>
    <cellStyle name="Notiz 2" xfId="1039"/>
    <cellStyle name="Option" xfId="1040"/>
    <cellStyle name="OptionHeading" xfId="1041"/>
    <cellStyle name="Output" xfId="1042"/>
    <cellStyle name="Output 2" xfId="1043"/>
    <cellStyle name="Output 2 2" xfId="1044"/>
    <cellStyle name="Output 3" xfId="1045"/>
    <cellStyle name="per.style" xfId="1046"/>
    <cellStyle name="Percent (0)" xfId="1047"/>
    <cellStyle name="Percent [0]" xfId="1048"/>
    <cellStyle name="Percent [00]" xfId="1049"/>
    <cellStyle name="Percent [2]" xfId="1050"/>
    <cellStyle name="Porcentual 11" xfId="1051"/>
    <cellStyle name="Porcentual 13" xfId="1052"/>
    <cellStyle name="Porcentual 3" xfId="1053"/>
    <cellStyle name="Porcentual 5" xfId="1054"/>
    <cellStyle name="Porcentual 7" xfId="1055"/>
    <cellStyle name="Porcentual 9" xfId="1056"/>
    <cellStyle name="PrePop Currency (0)" xfId="1057"/>
    <cellStyle name="PrePop Currency (2)" xfId="1058"/>
    <cellStyle name="PrePop Units (0)" xfId="1059"/>
    <cellStyle name="PrePop Units (1)" xfId="1060"/>
    <cellStyle name="PrePop Units (2)" xfId="1061"/>
    <cellStyle name="regstoresfromspecstores" xfId="1062"/>
    <cellStyle name="RevList" xfId="1063"/>
    <cellStyle name="Salida" xfId="1064"/>
    <cellStyle name="Salida 2" xfId="1065"/>
    <cellStyle name="Salida 2 2" xfId="1066"/>
    <cellStyle name="Salida 2 2 2" xfId="1067"/>
    <cellStyle name="Salida 2 3" xfId="1068"/>
    <cellStyle name="Salida 2 3 2" xfId="1069"/>
    <cellStyle name="Salida 2 4" xfId="1070"/>
    <cellStyle name="Salida 2 4 2" xfId="1071"/>
    <cellStyle name="Salida 2 5" xfId="1072"/>
    <cellStyle name="Salida 2_Прайс" xfId="1073"/>
    <cellStyle name="Salida 3" xfId="1074"/>
    <cellStyle name="Salida 3 2" xfId="1075"/>
    <cellStyle name="Salida 3 2 2" xfId="1076"/>
    <cellStyle name="Salida 3 3" xfId="1077"/>
    <cellStyle name="Salida 3 3 2" xfId="1078"/>
    <cellStyle name="Salida 3 4" xfId="1079"/>
    <cellStyle name="Salida 3_Прайс" xfId="1080"/>
    <cellStyle name="Salida 4" xfId="1081"/>
    <cellStyle name="Salida 4 2" xfId="1082"/>
    <cellStyle name="Salida 4 2 2" xfId="1083"/>
    <cellStyle name="Salida 4 3" xfId="1084"/>
    <cellStyle name="Salida 4_Прайс" xfId="1085"/>
    <cellStyle name="Salida 5" xfId="1086"/>
    <cellStyle name="Salida 5 2" xfId="1087"/>
    <cellStyle name="Salida 6" xfId="1088"/>
    <cellStyle name="Salida_Прайс" xfId="1089"/>
    <cellStyle name="SAPBEXaggData" xfId="1090"/>
    <cellStyle name="SAPBEXaggData 2" xfId="1091"/>
    <cellStyle name="SAPBEXaggDataEmph" xfId="1092"/>
    <cellStyle name="SAPBEXaggDataEmph 2" xfId="1093"/>
    <cellStyle name="SAPBEXaggItem" xfId="1094"/>
    <cellStyle name="SAPBEXaggItem 2" xfId="1095"/>
    <cellStyle name="SAPBEXaggItemX" xfId="1096"/>
    <cellStyle name="SAPBEXaggItemX 2" xfId="1097"/>
    <cellStyle name="SAPBEXchaText" xfId="1098"/>
    <cellStyle name="SAPBEXchaText 2" xfId="1099"/>
    <cellStyle name="SAPBEXexcBad7" xfId="1100"/>
    <cellStyle name="SAPBEXexcBad7 2" xfId="1101"/>
    <cellStyle name="SAPBEXexcBad8" xfId="1102"/>
    <cellStyle name="SAPBEXexcBad8 2" xfId="1103"/>
    <cellStyle name="SAPBEXexcBad9" xfId="1104"/>
    <cellStyle name="SAPBEXexcBad9 2" xfId="1105"/>
    <cellStyle name="SAPBEXexcCritical4" xfId="1106"/>
    <cellStyle name="SAPBEXexcCritical4 2" xfId="1107"/>
    <cellStyle name="SAPBEXexcCritical5" xfId="1108"/>
    <cellStyle name="SAPBEXexcCritical5 2" xfId="1109"/>
    <cellStyle name="SAPBEXexcCritical6" xfId="1110"/>
    <cellStyle name="SAPBEXexcCritical6 2" xfId="1111"/>
    <cellStyle name="SAPBEXexcGood1" xfId="1112"/>
    <cellStyle name="SAPBEXexcGood1 2" xfId="1113"/>
    <cellStyle name="SAPBEXexcGood2" xfId="1114"/>
    <cellStyle name="SAPBEXexcGood2 2" xfId="1115"/>
    <cellStyle name="SAPBEXexcGood3" xfId="1116"/>
    <cellStyle name="SAPBEXexcGood3 2" xfId="1117"/>
    <cellStyle name="SAPBEXfilterDrill" xfId="1118"/>
    <cellStyle name="SAPBEXfilterDrill 2" xfId="1119"/>
    <cellStyle name="SAPBEXfilterItem" xfId="1120"/>
    <cellStyle name="SAPBEXfilterItem 2" xfId="1121"/>
    <cellStyle name="SAPBEXfilterText" xfId="1122"/>
    <cellStyle name="SAPBEXformats" xfId="1123"/>
    <cellStyle name="SAPBEXformats 2" xfId="1124"/>
    <cellStyle name="SAPBEXheaderItem" xfId="1125"/>
    <cellStyle name="SAPBEXheaderItem 2" xfId="1126"/>
    <cellStyle name="SAPBEXheaderText" xfId="1127"/>
    <cellStyle name="SAPBEXheaderText 2" xfId="1128"/>
    <cellStyle name="SAPBEXHLevel0" xfId="1129"/>
    <cellStyle name="SAPBEXHLevel0 2" xfId="1130"/>
    <cellStyle name="SAPBEXHLevel0X" xfId="1131"/>
    <cellStyle name="SAPBEXHLevel0X 2" xfId="1132"/>
    <cellStyle name="SAPBEXHLevel1" xfId="1133"/>
    <cellStyle name="SAPBEXHLevel1 2" xfId="1134"/>
    <cellStyle name="SAPBEXHLevel1X" xfId="1135"/>
    <cellStyle name="SAPBEXHLevel1X 2" xfId="1136"/>
    <cellStyle name="SAPBEXHLevel2" xfId="1137"/>
    <cellStyle name="SAPBEXHLevel2 2" xfId="1138"/>
    <cellStyle name="SAPBEXHLevel2X" xfId="1139"/>
    <cellStyle name="SAPBEXHLevel2X 2" xfId="1140"/>
    <cellStyle name="SAPBEXHLevel3" xfId="1141"/>
    <cellStyle name="SAPBEXHLevel3 2" xfId="1142"/>
    <cellStyle name="SAPBEXHLevel3X" xfId="1143"/>
    <cellStyle name="SAPBEXHLevel3X 2" xfId="1144"/>
    <cellStyle name="SAPBEXinputData" xfId="1145"/>
    <cellStyle name="SAPBEXinputData 2" xfId="1146"/>
    <cellStyle name="SAPBEXresData" xfId="1147"/>
    <cellStyle name="SAPBEXresData 2" xfId="1148"/>
    <cellStyle name="SAPBEXresDataEmph" xfId="1149"/>
    <cellStyle name="SAPBEXresDataEmph 2" xfId="1150"/>
    <cellStyle name="SAPBEXresItem" xfId="1151"/>
    <cellStyle name="SAPBEXresItem 2" xfId="1152"/>
    <cellStyle name="SAPBEXresItemX" xfId="1153"/>
    <cellStyle name="SAPBEXresItemX 2" xfId="1154"/>
    <cellStyle name="SAPBEXstdData" xfId="1155"/>
    <cellStyle name="SAPBEXstdData 2" xfId="1156"/>
    <cellStyle name="SAPBEXstdDataEmph" xfId="1157"/>
    <cellStyle name="SAPBEXstdDataEmph 2" xfId="1158"/>
    <cellStyle name="SAPBEXstdItem" xfId="1159"/>
    <cellStyle name="SAPBEXstdItem 2" xfId="1160"/>
    <cellStyle name="SAPBEXstdItemX" xfId="1161"/>
    <cellStyle name="SAPBEXstdItemX 2" xfId="1162"/>
    <cellStyle name="SAPBEXtitle" xfId="1163"/>
    <cellStyle name="SAPBEXundefined" xfId="1164"/>
    <cellStyle name="SAPBEXundefined 2" xfId="1165"/>
    <cellStyle name="Schlecht" xfId="1166"/>
    <cellStyle name="SHADEDSTORES" xfId="1167"/>
    <cellStyle name="Sheet Title" xfId="1168"/>
    <cellStyle name="specstores" xfId="1169"/>
    <cellStyle name="Standard 3" xfId="2111"/>
    <cellStyle name="Standard_FORECAST" xfId="1170"/>
    <cellStyle name="Subtotal" xfId="1171"/>
    <cellStyle name="Text Indent A" xfId="1172"/>
    <cellStyle name="Text Indent B" xfId="1173"/>
    <cellStyle name="Text Indent C" xfId="1174"/>
    <cellStyle name="Texto de advertencia" xfId="1175"/>
    <cellStyle name="Texto de advertencia 2" xfId="1176"/>
    <cellStyle name="Texto de advertencia 2 2" xfId="1177"/>
    <cellStyle name="Texto de advertencia 2 3" xfId="1178"/>
    <cellStyle name="Texto de advertencia 2 4" xfId="1179"/>
    <cellStyle name="Texto de advertencia 2_Прайс" xfId="1180"/>
    <cellStyle name="Texto de advertencia 3" xfId="1181"/>
    <cellStyle name="Texto de advertencia 3 2" xfId="1182"/>
    <cellStyle name="Texto de advertencia 3 3" xfId="1183"/>
    <cellStyle name="Texto de advertencia 3_Прайс" xfId="1184"/>
    <cellStyle name="Texto de advertencia 4" xfId="1185"/>
    <cellStyle name="Texto de advertencia 4 2" xfId="1186"/>
    <cellStyle name="Texto de advertencia 4_Прайс" xfId="1187"/>
    <cellStyle name="Texto de advertencia 5" xfId="1188"/>
    <cellStyle name="Texto de advertencia_Прайс" xfId="1189"/>
    <cellStyle name="Texto explicativo" xfId="1190"/>
    <cellStyle name="Texto explicativo 2" xfId="1191"/>
    <cellStyle name="Texto explicativo 2 2" xfId="1192"/>
    <cellStyle name="Texto explicativo 2 3" xfId="1193"/>
    <cellStyle name="Texto explicativo 2 4" xfId="1194"/>
    <cellStyle name="Texto explicativo 2_Прайс" xfId="1195"/>
    <cellStyle name="Texto explicativo 3" xfId="1196"/>
    <cellStyle name="Texto explicativo 3 2" xfId="1197"/>
    <cellStyle name="Texto explicativo 3 3" xfId="1198"/>
    <cellStyle name="Texto explicativo 3_Прайс" xfId="1199"/>
    <cellStyle name="Texto explicativo 4" xfId="1200"/>
    <cellStyle name="Texto explicativo 4 2" xfId="1201"/>
    <cellStyle name="Texto explicativo 4_Прайс" xfId="1202"/>
    <cellStyle name="Texto explicativo 5" xfId="1203"/>
    <cellStyle name="Texto explicativo_Прайс" xfId="1204"/>
    <cellStyle name="Title" xfId="1205"/>
    <cellStyle name="Title 2" xfId="1206"/>
    <cellStyle name="Título" xfId="1207"/>
    <cellStyle name="Título 1" xfId="1208"/>
    <cellStyle name="Título 1 2" xfId="1209"/>
    <cellStyle name="Título 1 2 2" xfId="1210"/>
    <cellStyle name="Título 1 2 3" xfId="1211"/>
    <cellStyle name="Título 1 2 4" xfId="1212"/>
    <cellStyle name="Título 1 2_Прайс" xfId="1213"/>
    <cellStyle name="Título 1 3" xfId="1214"/>
    <cellStyle name="Título 1 3 2" xfId="1215"/>
    <cellStyle name="Título 1 3 3" xfId="1216"/>
    <cellStyle name="Título 1 3_Прайс" xfId="1217"/>
    <cellStyle name="Título 1 4" xfId="1218"/>
    <cellStyle name="Título 1 4 2" xfId="1219"/>
    <cellStyle name="Título 1 4_Прайс" xfId="1220"/>
    <cellStyle name="Título 1 5" xfId="1221"/>
    <cellStyle name="Título 1_Прайс" xfId="1222"/>
    <cellStyle name="Título 2" xfId="1223"/>
    <cellStyle name="Título 2 2" xfId="1224"/>
    <cellStyle name="Título 2 2 2" xfId="1225"/>
    <cellStyle name="Título 2 2 3" xfId="1226"/>
    <cellStyle name="Título 2 2 4" xfId="1227"/>
    <cellStyle name="Título 2 2_Прайс" xfId="1228"/>
    <cellStyle name="Título 2 3" xfId="1229"/>
    <cellStyle name="Título 2 3 2" xfId="1230"/>
    <cellStyle name="Título 2 3 3" xfId="1231"/>
    <cellStyle name="Título 2 3_Прайс" xfId="1232"/>
    <cellStyle name="Título 2 4" xfId="1233"/>
    <cellStyle name="Título 2 4 2" xfId="1234"/>
    <cellStyle name="Título 2 4_Прайс" xfId="1235"/>
    <cellStyle name="Título 2 5" xfId="1236"/>
    <cellStyle name="Título 2_Прайс" xfId="1237"/>
    <cellStyle name="Título 3" xfId="1238"/>
    <cellStyle name="Título 3 2" xfId="1239"/>
    <cellStyle name="Título 3 2 2" xfId="1240"/>
    <cellStyle name="Título 3 2 3" xfId="1241"/>
    <cellStyle name="Título 3 2 4" xfId="1242"/>
    <cellStyle name="Título 3 2_Прайс" xfId="1243"/>
    <cellStyle name="Título 3 3" xfId="1244"/>
    <cellStyle name="Título 3 3 2" xfId="1245"/>
    <cellStyle name="Título 3 3 3" xfId="1246"/>
    <cellStyle name="Título 3 3_Прайс" xfId="1247"/>
    <cellStyle name="Título 3 4" xfId="1248"/>
    <cellStyle name="Título 3 4 2" xfId="1249"/>
    <cellStyle name="Título 3 4_Прайс" xfId="1250"/>
    <cellStyle name="Título 3 5" xfId="1251"/>
    <cellStyle name="Título 3_Прайс" xfId="1252"/>
    <cellStyle name="Título 4" xfId="1253"/>
    <cellStyle name="Título 4 2" xfId="1254"/>
    <cellStyle name="Título 4 3" xfId="1255"/>
    <cellStyle name="Título 4 4" xfId="1256"/>
    <cellStyle name="Título 5" xfId="1257"/>
    <cellStyle name="Título 5 2" xfId="1258"/>
    <cellStyle name="Título 5 3" xfId="1259"/>
    <cellStyle name="Título 6" xfId="1260"/>
    <cellStyle name="Título 6 2" xfId="1261"/>
    <cellStyle name="Título 7" xfId="1262"/>
    <cellStyle name="Total" xfId="1263"/>
    <cellStyle name="Total 10" xfId="1264"/>
    <cellStyle name="Total 2" xfId="1265"/>
    <cellStyle name="Total 2 2" xfId="1266"/>
    <cellStyle name="Total 2 2 2" xfId="1267"/>
    <cellStyle name="Total 2 3" xfId="1268"/>
    <cellStyle name="Total 2 3 2" xfId="1269"/>
    <cellStyle name="Total 2 4" xfId="1270"/>
    <cellStyle name="Total 2 4 2" xfId="1271"/>
    <cellStyle name="Total 2 5" xfId="1272"/>
    <cellStyle name="Total 2_Прайс" xfId="1273"/>
    <cellStyle name="Total 3" xfId="1274"/>
    <cellStyle name="Total 3 2" xfId="1275"/>
    <cellStyle name="Total 3 2 2" xfId="1276"/>
    <cellStyle name="Total 3 3" xfId="1277"/>
    <cellStyle name="Total 3 3 2" xfId="1278"/>
    <cellStyle name="Total 3 4" xfId="1279"/>
    <cellStyle name="Total 3_Прайс" xfId="1280"/>
    <cellStyle name="Total 4" xfId="1281"/>
    <cellStyle name="Total 4 2" xfId="1282"/>
    <cellStyle name="Total 4 2 2" xfId="1283"/>
    <cellStyle name="Total 4 3" xfId="1284"/>
    <cellStyle name="Total 4_Прайс" xfId="1285"/>
    <cellStyle name="Total 5" xfId="1286"/>
    <cellStyle name="Total 5 2" xfId="1287"/>
    <cellStyle name="Total 6" xfId="1288"/>
    <cellStyle name="Total 6 2" xfId="1289"/>
    <cellStyle name="Total 7" xfId="1290"/>
    <cellStyle name="Total 8" xfId="1291"/>
    <cellStyle name="Total 9" xfId="1292"/>
    <cellStyle name="Total_Книга5" xfId="1293"/>
    <cellStyle name="Überschrift" xfId="1294"/>
    <cellStyle name="Überschrift 1" xfId="1295"/>
    <cellStyle name="Überschrift 2" xfId="1296"/>
    <cellStyle name="Überschrift 3" xfId="1297"/>
    <cellStyle name="Überschrift 4" xfId="1298"/>
    <cellStyle name="Valuta (0)_PortF2k" xfId="1299"/>
    <cellStyle name="Verknüpfte Zelle" xfId="1300"/>
    <cellStyle name="Vertical" xfId="1301"/>
    <cellStyle name="Währung_090109_Calc_Rus_FY_09_18" xfId="1302"/>
    <cellStyle name="Warnender Text" xfId="1303"/>
    <cellStyle name="Warning Text" xfId="1304"/>
    <cellStyle name="Warning Text 2" xfId="1305"/>
    <cellStyle name="W臧rung [0]_laroux" xfId="1306"/>
    <cellStyle name="W臧rung_laroux" xfId="1307"/>
    <cellStyle name="Zelle überprüfen" xfId="1308"/>
    <cellStyle name="Акцент1 2" xfId="1309"/>
    <cellStyle name="Акцент2 2" xfId="1310"/>
    <cellStyle name="Акцент3 2" xfId="1311"/>
    <cellStyle name="Акцент4 2" xfId="1312"/>
    <cellStyle name="Акцент5 2" xfId="1313"/>
    <cellStyle name="Акцент6 2" xfId="1314"/>
    <cellStyle name="Ввод  2" xfId="1315"/>
    <cellStyle name="Ввод  2 2" xfId="1316"/>
    <cellStyle name="Вывод 2" xfId="1317"/>
    <cellStyle name="Вывод 2 2" xfId="1318"/>
    <cellStyle name="Вычисление 2" xfId="1319"/>
    <cellStyle name="Вычисление 2 2" xfId="1320"/>
    <cellStyle name="Гиперссылка" xfId="1321" builtinId="8"/>
    <cellStyle name="Гиперссылка 2" xfId="1322"/>
    <cellStyle name="Гиперссылка 2 2" xfId="1323"/>
    <cellStyle name="Гиперссылка 2 3" xfId="1324"/>
    <cellStyle name="Гиперссылка 3" xfId="1325"/>
    <cellStyle name="Гиперссылка 4" xfId="1326"/>
    <cellStyle name="Гиперссылка 5" xfId="1327"/>
    <cellStyle name="Гиперссылка 6" xfId="1328"/>
    <cellStyle name="Гиперссылка 7" xfId="1329"/>
    <cellStyle name="Денежный [0]" xfId="1330" builtinId="7"/>
    <cellStyle name="Денежный [0] 2" xfId="1331"/>
    <cellStyle name="Денежный [0] 2 2" xfId="1332"/>
    <cellStyle name="Денежный [0] 2 3" xfId="1333"/>
    <cellStyle name="Денежный [0] 2 3 2" xfId="1334"/>
    <cellStyle name="Денежный [0] 2 3 2 2" xfId="1644"/>
    <cellStyle name="Денежный [0] 2 3 2 2 2" xfId="1960"/>
    <cellStyle name="Денежный [0] 2 3 2 3" xfId="1805"/>
    <cellStyle name="Денежный [0] 2 3 3" xfId="1643"/>
    <cellStyle name="Денежный [0] 2 3 3 2" xfId="1959"/>
    <cellStyle name="Денежный [0] 2 3 4" xfId="1804"/>
    <cellStyle name="Денежный [0] 2 4" xfId="1335"/>
    <cellStyle name="Денежный [0] 2 4 2" xfId="1645"/>
    <cellStyle name="Денежный [0] 2 4 2 2" xfId="1961"/>
    <cellStyle name="Денежный [0] 2 4 3" xfId="1806"/>
    <cellStyle name="Денежный [0] 2 5" xfId="1336"/>
    <cellStyle name="Денежный [0] 2 5 2" xfId="1646"/>
    <cellStyle name="Денежный [0] 2 5 2 2" xfId="1962"/>
    <cellStyle name="Денежный [0] 2 5 3" xfId="1807"/>
    <cellStyle name="Денежный [0] 2 6" xfId="1642"/>
    <cellStyle name="Денежный [0] 2 6 2" xfId="1958"/>
    <cellStyle name="Денежный [0] 2 7" xfId="1803"/>
    <cellStyle name="Денежный [0] 3" xfId="1337"/>
    <cellStyle name="Денежный [0] 3 2" xfId="1338"/>
    <cellStyle name="Денежный [0] 3 2 2" xfId="1339"/>
    <cellStyle name="Денежный [0] 3 2 2 2" xfId="1649"/>
    <cellStyle name="Денежный [0] 3 2 2 2 2" xfId="1965"/>
    <cellStyle name="Денежный [0] 3 2 2 3" xfId="1810"/>
    <cellStyle name="Денежный [0] 3 2 3" xfId="1648"/>
    <cellStyle name="Денежный [0] 3 2 3 2" xfId="1964"/>
    <cellStyle name="Денежный [0] 3 2 4" xfId="1809"/>
    <cellStyle name="Денежный [0] 3 3" xfId="1340"/>
    <cellStyle name="Денежный [0] 3 3 2" xfId="1650"/>
    <cellStyle name="Денежный [0] 3 3 2 2" xfId="1966"/>
    <cellStyle name="Денежный [0] 3 3 3" xfId="1811"/>
    <cellStyle name="Денежный [0] 3 4" xfId="1341"/>
    <cellStyle name="Денежный [0] 3 4 2" xfId="1651"/>
    <cellStyle name="Денежный [0] 3 4 2 2" xfId="1967"/>
    <cellStyle name="Денежный [0] 3 4 3" xfId="1812"/>
    <cellStyle name="Денежный [0] 3 5" xfId="1647"/>
    <cellStyle name="Денежный [0] 3 5 2" xfId="1963"/>
    <cellStyle name="Денежный [0] 3 6" xfId="1808"/>
    <cellStyle name="Денежный [0] 4" xfId="1342"/>
    <cellStyle name="Денежный [0] 4 2" xfId="1652"/>
    <cellStyle name="Денежный [0] 4 2 2" xfId="1968"/>
    <cellStyle name="Денежный [0] 4 3" xfId="1813"/>
    <cellStyle name="Денежный [0] 5" xfId="1641"/>
    <cellStyle name="Денежный [0] 5 2" xfId="1957"/>
    <cellStyle name="Денежный [0] 6" xfId="1802"/>
    <cellStyle name="Денежный 10" xfId="1343"/>
    <cellStyle name="Денежный 11" xfId="1344"/>
    <cellStyle name="Денежный 12" xfId="1345"/>
    <cellStyle name="Денежный 13" xfId="1346"/>
    <cellStyle name="Денежный 14" xfId="1347"/>
    <cellStyle name="Денежный 15" xfId="1348"/>
    <cellStyle name="Денежный 16" xfId="1349"/>
    <cellStyle name="Денежный 17" xfId="1350"/>
    <cellStyle name="Денежный 2" xfId="1351"/>
    <cellStyle name="Денежный 2 2" xfId="1352"/>
    <cellStyle name="Денежный 2 3" xfId="1353"/>
    <cellStyle name="Денежный 3" xfId="1354"/>
    <cellStyle name="Денежный 4" xfId="1355"/>
    <cellStyle name="Денежный 5" xfId="1356"/>
    <cellStyle name="Денежный 6" xfId="1357"/>
    <cellStyle name="Денежный 7" xfId="1358"/>
    <cellStyle name="Денежный 8" xfId="1359"/>
    <cellStyle name="Денежный 9" xfId="1360"/>
    <cellStyle name="Заголовок 1 2" xfId="1361"/>
    <cellStyle name="Заголовок 2 2" xfId="1362"/>
    <cellStyle name="Заголовок 3 2" xfId="1363"/>
    <cellStyle name="Заголовок 4 2" xfId="1364"/>
    <cellStyle name="Звичайний 5" xfId="1365"/>
    <cellStyle name="Итог 2" xfId="1366"/>
    <cellStyle name="Итог 2 2" xfId="1367"/>
    <cellStyle name="Контрольная ячейка 2" xfId="1368"/>
    <cellStyle name="Название 2" xfId="1369"/>
    <cellStyle name="Нейтральный 2" xfId="1370"/>
    <cellStyle name="Обычный" xfId="0" builtinId="0"/>
    <cellStyle name="Обычный 10" xfId="1371"/>
    <cellStyle name="Обычный 11" xfId="1372"/>
    <cellStyle name="Обычный 11 2" xfId="1373"/>
    <cellStyle name="Обычный 12" xfId="1374"/>
    <cellStyle name="Обычный 12 10" xfId="2112"/>
    <cellStyle name="Обычный 12 2" xfId="1375"/>
    <cellStyle name="Обычный 13" xfId="1376"/>
    <cellStyle name="Обычный 13 2" xfId="1377"/>
    <cellStyle name="Обычный 14" xfId="1378"/>
    <cellStyle name="Обычный 14 2" xfId="1379"/>
    <cellStyle name="Обычный 15" xfId="1380"/>
    <cellStyle name="Обычный 16" xfId="1381"/>
    <cellStyle name="Обычный 17" xfId="1382"/>
    <cellStyle name="Обычный 18" xfId="1383"/>
    <cellStyle name="Обычный 19" xfId="1384"/>
    <cellStyle name="Обычный 2" xfId="1385"/>
    <cellStyle name="Обычный 2 2" xfId="1386"/>
    <cellStyle name="Обычный 2 2 2" xfId="1387"/>
    <cellStyle name="Обычный 2 3" xfId="1388"/>
    <cellStyle name="Обычный 2 4" xfId="1389"/>
    <cellStyle name="Обычный 2 5" xfId="1390"/>
    <cellStyle name="Обычный 2 6" xfId="1653"/>
    <cellStyle name="Обычный 2_price 2008 12 domestic" xfId="1391"/>
    <cellStyle name="Обычный 20" xfId="1392"/>
    <cellStyle name="Обычный 21" xfId="1393"/>
    <cellStyle name="Обычный 22" xfId="1394"/>
    <cellStyle name="Обычный 23" xfId="1395"/>
    <cellStyle name="Обычный 24" xfId="1396"/>
    <cellStyle name="Обычный 25" xfId="1397"/>
    <cellStyle name="Обычный 26" xfId="1398"/>
    <cellStyle name="Обычный 27" xfId="1399"/>
    <cellStyle name="Обычный 28" xfId="1400"/>
    <cellStyle name="Обычный 29" xfId="1401"/>
    <cellStyle name="Обычный 3" xfId="1402"/>
    <cellStyle name="Обычный 3 2" xfId="1403"/>
    <cellStyle name="Обычный 3 2 2" xfId="1655"/>
    <cellStyle name="Обычный 3 2 2 2" xfId="1970"/>
    <cellStyle name="Обычный 3 2 3" xfId="1815"/>
    <cellStyle name="Обычный 3 3" xfId="1404"/>
    <cellStyle name="Обычный 3 4" xfId="1405"/>
    <cellStyle name="Обычный 3 5" xfId="1406"/>
    <cellStyle name="Обычный 3 6" xfId="1407"/>
    <cellStyle name="Обычный 3 7" xfId="1408"/>
    <cellStyle name="Обычный 3 8" xfId="1654"/>
    <cellStyle name="Обычный 3 8 2" xfId="1969"/>
    <cellStyle name="Обычный 3 9" xfId="1814"/>
    <cellStyle name="Обычный 30" xfId="1409"/>
    <cellStyle name="Обычный 31" xfId="1410"/>
    <cellStyle name="Обычный 31 2" xfId="1656"/>
    <cellStyle name="Обычный 32" xfId="1411"/>
    <cellStyle name="Обычный 33" xfId="1412"/>
    <cellStyle name="Обычный 34" xfId="1413"/>
    <cellStyle name="Обычный 35" xfId="1414"/>
    <cellStyle name="Обычный 35 2" xfId="1657"/>
    <cellStyle name="Обычный 35 2 2" xfId="1971"/>
    <cellStyle name="Обычный 35 3" xfId="1816"/>
    <cellStyle name="Обычный 36" xfId="1415"/>
    <cellStyle name="Обычный 36 2" xfId="1658"/>
    <cellStyle name="Обычный 36 2 2" xfId="1972"/>
    <cellStyle name="Обычный 36 3" xfId="1817"/>
    <cellStyle name="Обычный 37" xfId="1416"/>
    <cellStyle name="Обычный 37 2" xfId="1659"/>
    <cellStyle name="Обычный 37 2 2" xfId="1973"/>
    <cellStyle name="Обычный 37 3" xfId="1818"/>
    <cellStyle name="Обычный 38" xfId="1417"/>
    <cellStyle name="Обычный 38 2" xfId="1660"/>
    <cellStyle name="Обычный 38 2 2" xfId="1974"/>
    <cellStyle name="Обычный 38 3" xfId="1819"/>
    <cellStyle name="Обычный 39" xfId="1418"/>
    <cellStyle name="Обычный 39 2" xfId="1661"/>
    <cellStyle name="Обычный 39 2 2" xfId="1975"/>
    <cellStyle name="Обычный 39 3" xfId="1820"/>
    <cellStyle name="Обычный 4" xfId="1419"/>
    <cellStyle name="Обычный 4 2" xfId="1420"/>
    <cellStyle name="Обычный 4 3" xfId="1421"/>
    <cellStyle name="Обычный 4 4" xfId="1662"/>
    <cellStyle name="Обычный 4 4 2" xfId="1976"/>
    <cellStyle name="Обычный 4 5" xfId="1821"/>
    <cellStyle name="Обычный 40" xfId="1422"/>
    <cellStyle name="Обычный 40 2" xfId="1663"/>
    <cellStyle name="Обычный 40 2 2" xfId="1977"/>
    <cellStyle name="Обычный 40 3" xfId="1822"/>
    <cellStyle name="Обычный 41" xfId="1423"/>
    <cellStyle name="Обычный 41 2" xfId="1664"/>
    <cellStyle name="Обычный 41 2 2" xfId="1978"/>
    <cellStyle name="Обычный 41 3" xfId="1823"/>
    <cellStyle name="Обычный 42" xfId="1424"/>
    <cellStyle name="Обычный 42 2" xfId="1665"/>
    <cellStyle name="Обычный 42 2 2" xfId="1979"/>
    <cellStyle name="Обычный 42 3" xfId="1824"/>
    <cellStyle name="Обычный 43" xfId="1425"/>
    <cellStyle name="Обычный 43 2" xfId="1666"/>
    <cellStyle name="Обычный 43 2 2" xfId="1980"/>
    <cellStyle name="Обычный 43 3" xfId="1825"/>
    <cellStyle name="Обычный 44" xfId="1426"/>
    <cellStyle name="Обычный 44 2" xfId="1667"/>
    <cellStyle name="Обычный 44 2 2" xfId="1981"/>
    <cellStyle name="Обычный 44 3" xfId="1826"/>
    <cellStyle name="Обычный 45" xfId="1427"/>
    <cellStyle name="Обычный 45 2" xfId="1668"/>
    <cellStyle name="Обычный 45 2 2" xfId="1982"/>
    <cellStyle name="Обычный 45 3" xfId="1827"/>
    <cellStyle name="Обычный 46" xfId="1428"/>
    <cellStyle name="Обычный 46 2" xfId="1669"/>
    <cellStyle name="Обычный 46 2 2" xfId="1983"/>
    <cellStyle name="Обычный 46 3" xfId="1828"/>
    <cellStyle name="Обычный 47" xfId="1429"/>
    <cellStyle name="Обычный 47 2" xfId="1670"/>
    <cellStyle name="Обычный 47 2 2" xfId="1984"/>
    <cellStyle name="Обычный 47 3" xfId="1829"/>
    <cellStyle name="Обычный 48" xfId="1430"/>
    <cellStyle name="Обычный 48 2" xfId="1671"/>
    <cellStyle name="Обычный 48 2 2" xfId="1985"/>
    <cellStyle name="Обычный 48 3" xfId="1830"/>
    <cellStyle name="Обычный 49" xfId="1431"/>
    <cellStyle name="Обычный 49 2" xfId="1672"/>
    <cellStyle name="Обычный 49 2 2" xfId="1986"/>
    <cellStyle name="Обычный 49 3" xfId="1831"/>
    <cellStyle name="Обычный 5" xfId="1432"/>
    <cellStyle name="Обычный 5 2" xfId="1433"/>
    <cellStyle name="Обычный 5 3" xfId="1434"/>
    <cellStyle name="Обычный 5 4" xfId="1435"/>
    <cellStyle name="Обычный 50" xfId="1436"/>
    <cellStyle name="Обычный 50 2" xfId="1673"/>
    <cellStyle name="Обычный 50 2 2" xfId="1987"/>
    <cellStyle name="Обычный 50 3" xfId="1832"/>
    <cellStyle name="Обычный 51" xfId="1437"/>
    <cellStyle name="Обычный 51 2" xfId="1674"/>
    <cellStyle name="Обычный 51 2 2" xfId="1988"/>
    <cellStyle name="Обычный 51 3" xfId="1833"/>
    <cellStyle name="Обычный 52" xfId="1438"/>
    <cellStyle name="Обычный 52 2" xfId="1675"/>
    <cellStyle name="Обычный 52 2 2" xfId="1989"/>
    <cellStyle name="Обычный 52 3" xfId="1834"/>
    <cellStyle name="Обычный 53" xfId="1439"/>
    <cellStyle name="Обычный 53 2" xfId="1676"/>
    <cellStyle name="Обычный 53 2 2" xfId="1990"/>
    <cellStyle name="Обычный 53 3" xfId="1835"/>
    <cellStyle name="Обычный 54" xfId="1440"/>
    <cellStyle name="Обычный 54 2" xfId="1677"/>
    <cellStyle name="Обычный 54 2 2" xfId="1991"/>
    <cellStyle name="Обычный 54 3" xfId="1836"/>
    <cellStyle name="Обычный 55" xfId="1441"/>
    <cellStyle name="Обычный 55 2" xfId="1678"/>
    <cellStyle name="Обычный 55 2 2" xfId="1992"/>
    <cellStyle name="Обычный 55 3" xfId="1837"/>
    <cellStyle name="Обычный 6" xfId="1442"/>
    <cellStyle name="Обычный 6 2" xfId="1443"/>
    <cellStyle name="Обычный 7" xfId="1444"/>
    <cellStyle name="Обычный 7 2" xfId="1445"/>
    <cellStyle name="Обычный 8" xfId="1446"/>
    <cellStyle name="Обычный 9" xfId="1447"/>
    <cellStyle name="Плохой 2" xfId="1448"/>
    <cellStyle name="Пояснение 2" xfId="1449"/>
    <cellStyle name="Примечание 2" xfId="1450"/>
    <cellStyle name="Примечание 2 2" xfId="1451"/>
    <cellStyle name="Примечание 2 2 2" xfId="1680"/>
    <cellStyle name="Примечание 2 3" xfId="1679"/>
    <cellStyle name="Процентный 2" xfId="1452"/>
    <cellStyle name="Процентный 2 2" xfId="1453"/>
    <cellStyle name="Процентный 3" xfId="1454"/>
    <cellStyle name="Процентный 3 2" xfId="1455"/>
    <cellStyle name="Процентный 3 2 2" xfId="1681"/>
    <cellStyle name="Процентный 4" xfId="1456"/>
    <cellStyle name="Процентный 5" xfId="1457"/>
    <cellStyle name="Связанная ячейка 2" xfId="1458"/>
    <cellStyle name="Стиль 1" xfId="1459"/>
    <cellStyle name="Стиль 1 2" xfId="1460"/>
    <cellStyle name="Стиль 1 2 2" xfId="1461"/>
    <cellStyle name="Стиль 1 2 3" xfId="1462"/>
    <cellStyle name="Стиль 1 3" xfId="1463"/>
    <cellStyle name="Стиль 1 4" xfId="1464"/>
    <cellStyle name="Стиль 1_Прайс Альянс (VRF NEOCLIMA) декабрь 2011" xfId="1465"/>
    <cellStyle name="Текст предупреждения 2" xfId="1466"/>
    <cellStyle name="Тысячи [0]_PR_KOMPL" xfId="1467"/>
    <cellStyle name="Тысячи_PО_K_971" xfId="1468"/>
    <cellStyle name="Финансовый [0]" xfId="1469" builtinId="6"/>
    <cellStyle name="Финансовый [0] 2" xfId="1470"/>
    <cellStyle name="Финансовый [0] 2 2" xfId="1471"/>
    <cellStyle name="Финансовый [0] 2 2 2" xfId="1472"/>
    <cellStyle name="Финансовый [0] 2 2 2 2" xfId="1685"/>
    <cellStyle name="Финансовый [0] 2 2 2 2 2" xfId="1996"/>
    <cellStyle name="Финансовый [0] 2 2 2 3" xfId="1841"/>
    <cellStyle name="Финансовый [0] 2 2 3" xfId="1684"/>
    <cellStyle name="Финансовый [0] 2 2 3 2" xfId="1995"/>
    <cellStyle name="Финансовый [0] 2 2 4" xfId="1840"/>
    <cellStyle name="Финансовый [0] 2 3" xfId="1473"/>
    <cellStyle name="Финансовый [0] 2 3 2" xfId="1474"/>
    <cellStyle name="Финансовый [0] 2 3 2 2" xfId="1687"/>
    <cellStyle name="Финансовый [0] 2 3 2 2 2" xfId="1998"/>
    <cellStyle name="Финансовый [0] 2 3 2 3" xfId="1843"/>
    <cellStyle name="Финансовый [0] 2 3 3" xfId="1686"/>
    <cellStyle name="Финансовый [0] 2 3 3 2" xfId="1997"/>
    <cellStyle name="Финансовый [0] 2 3 4" xfId="1842"/>
    <cellStyle name="Финансовый [0] 2 4" xfId="1475"/>
    <cellStyle name="Финансовый [0] 2 4 2" xfId="1688"/>
    <cellStyle name="Финансовый [0] 2 4 2 2" xfId="1999"/>
    <cellStyle name="Финансовый [0] 2 4 3" xfId="1844"/>
    <cellStyle name="Финансовый [0] 2 5" xfId="1476"/>
    <cellStyle name="Финансовый [0] 2 5 2" xfId="1689"/>
    <cellStyle name="Финансовый [0] 2 5 2 2" xfId="2000"/>
    <cellStyle name="Финансовый [0] 2 5 3" xfId="1845"/>
    <cellStyle name="Финансовый [0] 2 6" xfId="1683"/>
    <cellStyle name="Финансовый [0] 2 6 2" xfId="1994"/>
    <cellStyle name="Финансовый [0] 2 7" xfId="1839"/>
    <cellStyle name="Финансовый [0] 3" xfId="1477"/>
    <cellStyle name="Финансовый [0] 3 2" xfId="1478"/>
    <cellStyle name="Финансовый [0] 3 2 2" xfId="1479"/>
    <cellStyle name="Финансовый [0] 3 2 2 2" xfId="1692"/>
    <cellStyle name="Финансовый [0] 3 2 2 2 2" xfId="2003"/>
    <cellStyle name="Финансовый [0] 3 2 2 3" xfId="1848"/>
    <cellStyle name="Финансовый [0] 3 2 3" xfId="1691"/>
    <cellStyle name="Финансовый [0] 3 2 3 2" xfId="2002"/>
    <cellStyle name="Финансовый [0] 3 2 4" xfId="1847"/>
    <cellStyle name="Финансовый [0] 3 3" xfId="1480"/>
    <cellStyle name="Финансовый [0] 3 3 2" xfId="1481"/>
    <cellStyle name="Финансовый [0] 3 3 2 2" xfId="1694"/>
    <cellStyle name="Финансовый [0] 3 3 2 2 2" xfId="2005"/>
    <cellStyle name="Финансовый [0] 3 3 2 3" xfId="1850"/>
    <cellStyle name="Финансовый [0] 3 3 3" xfId="1693"/>
    <cellStyle name="Финансовый [0] 3 3 3 2" xfId="2004"/>
    <cellStyle name="Финансовый [0] 3 3 4" xfId="1849"/>
    <cellStyle name="Финансовый [0] 3 4" xfId="1482"/>
    <cellStyle name="Финансовый [0] 3 4 2" xfId="1695"/>
    <cellStyle name="Финансовый [0] 3 4 2 2" xfId="2006"/>
    <cellStyle name="Финансовый [0] 3 4 3" xfId="1851"/>
    <cellStyle name="Финансовый [0] 3 5" xfId="1483"/>
    <cellStyle name="Финансовый [0] 3 5 2" xfId="1696"/>
    <cellStyle name="Финансовый [0] 3 5 2 2" xfId="2007"/>
    <cellStyle name="Финансовый [0] 3 5 3" xfId="1852"/>
    <cellStyle name="Финансовый [0] 3 6" xfId="1690"/>
    <cellStyle name="Финансовый [0] 3 6 2" xfId="2001"/>
    <cellStyle name="Финансовый [0] 3 7" xfId="1846"/>
    <cellStyle name="Финансовый [0] 4" xfId="1484"/>
    <cellStyle name="Финансовый [0] 4 2" xfId="1485"/>
    <cellStyle name="Финансовый [0] 4 2 2" xfId="1697"/>
    <cellStyle name="Финансовый [0] 5" xfId="1486"/>
    <cellStyle name="Финансовый [0] 6" xfId="1487"/>
    <cellStyle name="Финансовый [0] 7" xfId="1488"/>
    <cellStyle name="Финансовый [0] 7 2" xfId="1698"/>
    <cellStyle name="Финансовый [0] 7 2 2" xfId="2008"/>
    <cellStyle name="Финансовый [0] 7 3" xfId="1853"/>
    <cellStyle name="Финансовый [0] 8" xfId="1682"/>
    <cellStyle name="Финансовый [0] 8 2" xfId="1993"/>
    <cellStyle name="Финансовый [0] 9" xfId="1838"/>
    <cellStyle name="Финансовый 10" xfId="1489"/>
    <cellStyle name="Финансовый 10 2" xfId="1490"/>
    <cellStyle name="Финансовый 10 2 2" xfId="1491"/>
    <cellStyle name="Финансовый 10 2 2 2" xfId="1701"/>
    <cellStyle name="Финансовый 10 2 2 2 2" xfId="2011"/>
    <cellStyle name="Финансовый 10 2 2 3" xfId="1856"/>
    <cellStyle name="Финансовый 10 2 3" xfId="1700"/>
    <cellStyle name="Финансовый 10 2 3 2" xfId="2010"/>
    <cellStyle name="Финансовый 10 2 4" xfId="1855"/>
    <cellStyle name="Финансовый 10 3" xfId="1492"/>
    <cellStyle name="Финансовый 10 3 2" xfId="1702"/>
    <cellStyle name="Финансовый 10 3 2 2" xfId="2012"/>
    <cellStyle name="Финансовый 10 3 3" xfId="1857"/>
    <cellStyle name="Финансовый 10 4" xfId="1699"/>
    <cellStyle name="Финансовый 10 4 2" xfId="2009"/>
    <cellStyle name="Финансовый 10 5" xfId="1854"/>
    <cellStyle name="Финансовый 11" xfId="1493"/>
    <cellStyle name="Финансовый 11 2" xfId="1494"/>
    <cellStyle name="Финансовый 11 2 2" xfId="1495"/>
    <cellStyle name="Финансовый 11 2 2 2" xfId="1705"/>
    <cellStyle name="Финансовый 11 2 2 2 2" xfId="2015"/>
    <cellStyle name="Финансовый 11 2 2 3" xfId="1860"/>
    <cellStyle name="Финансовый 11 2 3" xfId="1704"/>
    <cellStyle name="Финансовый 11 2 3 2" xfId="2014"/>
    <cellStyle name="Финансовый 11 2 4" xfId="1859"/>
    <cellStyle name="Финансовый 11 3" xfId="1496"/>
    <cellStyle name="Финансовый 11 3 2" xfId="1706"/>
    <cellStyle name="Финансовый 11 3 2 2" xfId="2016"/>
    <cellStyle name="Финансовый 11 3 3" xfId="1861"/>
    <cellStyle name="Финансовый 11 4" xfId="1703"/>
    <cellStyle name="Финансовый 11 4 2" xfId="2013"/>
    <cellStyle name="Финансовый 11 5" xfId="1858"/>
    <cellStyle name="Финансовый 12" xfId="1497"/>
    <cellStyle name="Финансовый 12 2" xfId="1498"/>
    <cellStyle name="Финансовый 12 2 2" xfId="1499"/>
    <cellStyle name="Финансовый 12 2 2 2" xfId="1709"/>
    <cellStyle name="Финансовый 12 2 2 2 2" xfId="2019"/>
    <cellStyle name="Финансовый 12 2 2 3" xfId="1864"/>
    <cellStyle name="Финансовый 12 2 3" xfId="1708"/>
    <cellStyle name="Финансовый 12 2 3 2" xfId="2018"/>
    <cellStyle name="Финансовый 12 2 4" xfId="1863"/>
    <cellStyle name="Финансовый 12 3" xfId="1500"/>
    <cellStyle name="Финансовый 12 3 2" xfId="1710"/>
    <cellStyle name="Финансовый 12 3 2 2" xfId="2020"/>
    <cellStyle name="Финансовый 12 3 3" xfId="1865"/>
    <cellStyle name="Финансовый 12 4" xfId="1707"/>
    <cellStyle name="Финансовый 12 4 2" xfId="2017"/>
    <cellStyle name="Финансовый 12 5" xfId="1862"/>
    <cellStyle name="Финансовый 13" xfId="1501"/>
    <cellStyle name="Финансовый 13 2" xfId="1502"/>
    <cellStyle name="Финансовый 13 2 2" xfId="1503"/>
    <cellStyle name="Финансовый 13 2 2 2" xfId="1713"/>
    <cellStyle name="Финансовый 13 2 2 2 2" xfId="2023"/>
    <cellStyle name="Финансовый 13 2 2 3" xfId="1868"/>
    <cellStyle name="Финансовый 13 2 3" xfId="1712"/>
    <cellStyle name="Финансовый 13 2 3 2" xfId="2022"/>
    <cellStyle name="Финансовый 13 2 4" xfId="1867"/>
    <cellStyle name="Финансовый 13 3" xfId="1504"/>
    <cellStyle name="Финансовый 13 3 2" xfId="1714"/>
    <cellStyle name="Финансовый 13 3 2 2" xfId="2024"/>
    <cellStyle name="Финансовый 13 3 3" xfId="1869"/>
    <cellStyle name="Финансовый 13 4" xfId="1711"/>
    <cellStyle name="Финансовый 13 4 2" xfId="2021"/>
    <cellStyle name="Финансовый 13 5" xfId="1866"/>
    <cellStyle name="Финансовый 14" xfId="1505"/>
    <cellStyle name="Финансовый 14 2" xfId="1506"/>
    <cellStyle name="Финансовый 14 2 2" xfId="1507"/>
    <cellStyle name="Финансовый 14 2 2 2" xfId="1717"/>
    <cellStyle name="Финансовый 14 2 2 2 2" xfId="2027"/>
    <cellStyle name="Финансовый 14 2 2 3" xfId="1872"/>
    <cellStyle name="Финансовый 14 2 3" xfId="1716"/>
    <cellStyle name="Финансовый 14 2 3 2" xfId="2026"/>
    <cellStyle name="Финансовый 14 2 4" xfId="1871"/>
    <cellStyle name="Финансовый 14 3" xfId="1508"/>
    <cellStyle name="Финансовый 14 3 2" xfId="1718"/>
    <cellStyle name="Финансовый 14 3 2 2" xfId="2028"/>
    <cellStyle name="Финансовый 14 3 3" xfId="1873"/>
    <cellStyle name="Финансовый 14 4" xfId="1715"/>
    <cellStyle name="Финансовый 14 4 2" xfId="2025"/>
    <cellStyle name="Финансовый 14 5" xfId="1870"/>
    <cellStyle name="Финансовый 15" xfId="1509"/>
    <cellStyle name="Финансовый 15 2" xfId="1510"/>
    <cellStyle name="Финансовый 15 2 2" xfId="1511"/>
    <cellStyle name="Финансовый 15 2 2 2" xfId="1721"/>
    <cellStyle name="Финансовый 15 2 2 2 2" xfId="2031"/>
    <cellStyle name="Финансовый 15 2 2 3" xfId="1876"/>
    <cellStyle name="Финансовый 15 2 3" xfId="1720"/>
    <cellStyle name="Финансовый 15 2 3 2" xfId="2030"/>
    <cellStyle name="Финансовый 15 2 4" xfId="1875"/>
    <cellStyle name="Финансовый 15 3" xfId="1512"/>
    <cellStyle name="Финансовый 15 3 2" xfId="1722"/>
    <cellStyle name="Финансовый 15 3 2 2" xfId="2032"/>
    <cellStyle name="Финансовый 15 3 3" xfId="1877"/>
    <cellStyle name="Финансовый 15 4" xfId="1719"/>
    <cellStyle name="Финансовый 15 4 2" xfId="2029"/>
    <cellStyle name="Финансовый 15 5" xfId="1874"/>
    <cellStyle name="Финансовый 16" xfId="1513"/>
    <cellStyle name="Финансовый 16 2" xfId="1514"/>
    <cellStyle name="Финансовый 16 2 2" xfId="1724"/>
    <cellStyle name="Финансовый 16 2 2 2" xfId="2034"/>
    <cellStyle name="Финансовый 16 2 3" xfId="1879"/>
    <cellStyle name="Финансовый 16 3" xfId="1723"/>
    <cellStyle name="Финансовый 16 3 2" xfId="2033"/>
    <cellStyle name="Финансовый 16 4" xfId="1878"/>
    <cellStyle name="Финансовый 17" xfId="1515"/>
    <cellStyle name="Финансовый 17 2" xfId="1516"/>
    <cellStyle name="Финансовый 17 2 2" xfId="1726"/>
    <cellStyle name="Финансовый 17 2 2 2" xfId="2036"/>
    <cellStyle name="Финансовый 17 2 3" xfId="1881"/>
    <cellStyle name="Финансовый 17 3" xfId="1725"/>
    <cellStyle name="Финансовый 17 3 2" xfId="2035"/>
    <cellStyle name="Финансовый 17 4" xfId="1880"/>
    <cellStyle name="Финансовый 18" xfId="1517"/>
    <cellStyle name="Финансовый 18 2" xfId="1518"/>
    <cellStyle name="Финансовый 18 2 2" xfId="1728"/>
    <cellStyle name="Финансовый 18 2 2 2" xfId="2038"/>
    <cellStyle name="Финансовый 18 2 3" xfId="1883"/>
    <cellStyle name="Финансовый 18 3" xfId="1727"/>
    <cellStyle name="Финансовый 18 3 2" xfId="2037"/>
    <cellStyle name="Финансовый 18 4" xfId="1882"/>
    <cellStyle name="Финансовый 19" xfId="1519"/>
    <cellStyle name="Финансовый 19 2" xfId="1520"/>
    <cellStyle name="Финансовый 19 2 2" xfId="1730"/>
    <cellStyle name="Финансовый 19 2 2 2" xfId="2040"/>
    <cellStyle name="Финансовый 19 2 3" xfId="1885"/>
    <cellStyle name="Финансовый 19 3" xfId="1729"/>
    <cellStyle name="Финансовый 19 3 2" xfId="2039"/>
    <cellStyle name="Финансовый 19 4" xfId="1884"/>
    <cellStyle name="Финансовый 2" xfId="1521"/>
    <cellStyle name="Финансовый 2 2" xfId="1522"/>
    <cellStyle name="Финансовый 2 2 2" xfId="1523"/>
    <cellStyle name="Финансовый 2 2 2 2" xfId="1733"/>
    <cellStyle name="Финансовый 2 2 2 2 2" xfId="2043"/>
    <cellStyle name="Финансовый 2 2 2 3" xfId="1888"/>
    <cellStyle name="Финансовый 2 2 3" xfId="1732"/>
    <cellStyle name="Финансовый 2 2 3 2" xfId="2042"/>
    <cellStyle name="Финансовый 2 2 4" xfId="1887"/>
    <cellStyle name="Финансовый 2 3" xfId="1524"/>
    <cellStyle name="Финансовый 2 3 2" xfId="1525"/>
    <cellStyle name="Финансовый 2 3 2 2" xfId="1735"/>
    <cellStyle name="Финансовый 2 3 2 2 2" xfId="2045"/>
    <cellStyle name="Финансовый 2 3 2 3" xfId="1890"/>
    <cellStyle name="Финансовый 2 3 3" xfId="1734"/>
    <cellStyle name="Финансовый 2 3 3 2" xfId="2044"/>
    <cellStyle name="Финансовый 2 3 4" xfId="1889"/>
    <cellStyle name="Финансовый 2 4" xfId="1526"/>
    <cellStyle name="Финансовый 2 5" xfId="1527"/>
    <cellStyle name="Финансовый 2 5 2" xfId="1736"/>
    <cellStyle name="Финансовый 2 5 2 2" xfId="2046"/>
    <cellStyle name="Финансовый 2 5 3" xfId="1891"/>
    <cellStyle name="Финансовый 2 6" xfId="1731"/>
    <cellStyle name="Финансовый 2 6 2" xfId="2041"/>
    <cellStyle name="Финансовый 2 7" xfId="1886"/>
    <cellStyle name="Финансовый 20" xfId="1528"/>
    <cellStyle name="Финансовый 20 2" xfId="1529"/>
    <cellStyle name="Финансовый 20 2 2" xfId="1738"/>
    <cellStyle name="Финансовый 20 2 2 2" xfId="2048"/>
    <cellStyle name="Финансовый 20 2 3" xfId="1893"/>
    <cellStyle name="Финансовый 20 3" xfId="1737"/>
    <cellStyle name="Финансовый 20 3 2" xfId="2047"/>
    <cellStyle name="Финансовый 20 4" xfId="1892"/>
    <cellStyle name="Финансовый 21" xfId="1530"/>
    <cellStyle name="Финансовый 21 2" xfId="1531"/>
    <cellStyle name="Финансовый 21 2 2" xfId="1740"/>
    <cellStyle name="Финансовый 21 2 2 2" xfId="2050"/>
    <cellStyle name="Финансовый 21 2 3" xfId="1895"/>
    <cellStyle name="Финансовый 21 3" xfId="1739"/>
    <cellStyle name="Финансовый 21 3 2" xfId="2049"/>
    <cellStyle name="Финансовый 21 4" xfId="1894"/>
    <cellStyle name="Финансовый 22" xfId="1532"/>
    <cellStyle name="Финансовый 23" xfId="1533"/>
    <cellStyle name="Финансовый 24" xfId="1534"/>
    <cellStyle name="Финансовый 24 2" xfId="1535"/>
    <cellStyle name="Финансовый 24 2 2" xfId="1742"/>
    <cellStyle name="Финансовый 24 2 2 2" xfId="2052"/>
    <cellStyle name="Финансовый 24 2 3" xfId="1897"/>
    <cellStyle name="Финансовый 24 3" xfId="1741"/>
    <cellStyle name="Финансовый 24 3 2" xfId="2051"/>
    <cellStyle name="Финансовый 24 4" xfId="1896"/>
    <cellStyle name="Финансовый 25" xfId="1536"/>
    <cellStyle name="Финансовый 25 2" xfId="1537"/>
    <cellStyle name="Финансовый 25 2 2" xfId="1744"/>
    <cellStyle name="Финансовый 25 2 2 2" xfId="2054"/>
    <cellStyle name="Финансовый 25 2 3" xfId="1899"/>
    <cellStyle name="Финансовый 25 3" xfId="1743"/>
    <cellStyle name="Финансовый 25 3 2" xfId="2053"/>
    <cellStyle name="Финансовый 25 4" xfId="1898"/>
    <cellStyle name="Финансовый 26" xfId="1538"/>
    <cellStyle name="Финансовый 26 2" xfId="1539"/>
    <cellStyle name="Финансовый 26 2 2" xfId="1746"/>
    <cellStyle name="Финансовый 26 2 2 2" xfId="2056"/>
    <cellStyle name="Финансовый 26 2 3" xfId="1901"/>
    <cellStyle name="Финансовый 26 3" xfId="1745"/>
    <cellStyle name="Финансовый 26 3 2" xfId="2055"/>
    <cellStyle name="Финансовый 26 4" xfId="1900"/>
    <cellStyle name="Финансовый 27" xfId="1540"/>
    <cellStyle name="Финансовый 27 2" xfId="1541"/>
    <cellStyle name="Финансовый 27 2 2" xfId="1748"/>
    <cellStyle name="Финансовый 27 2 2 2" xfId="2058"/>
    <cellStyle name="Финансовый 27 2 3" xfId="1903"/>
    <cellStyle name="Финансовый 27 3" xfId="1747"/>
    <cellStyle name="Финансовый 27 3 2" xfId="2057"/>
    <cellStyle name="Финансовый 27 4" xfId="1902"/>
    <cellStyle name="Финансовый 28" xfId="1542"/>
    <cellStyle name="Финансовый 28 2" xfId="1543"/>
    <cellStyle name="Финансовый 28 2 2" xfId="1750"/>
    <cellStyle name="Финансовый 28 2 2 2" xfId="2060"/>
    <cellStyle name="Финансовый 28 2 3" xfId="1905"/>
    <cellStyle name="Финансовый 28 3" xfId="1749"/>
    <cellStyle name="Финансовый 28 3 2" xfId="2059"/>
    <cellStyle name="Финансовый 28 4" xfId="1904"/>
    <cellStyle name="Финансовый 29" xfId="1544"/>
    <cellStyle name="Финансовый 29 2" xfId="1545"/>
    <cellStyle name="Финансовый 29 2 2" xfId="1752"/>
    <cellStyle name="Финансовый 29 2 2 2" xfId="2062"/>
    <cellStyle name="Финансовый 29 2 3" xfId="1907"/>
    <cellStyle name="Финансовый 29 3" xfId="1751"/>
    <cellStyle name="Финансовый 29 3 2" xfId="2061"/>
    <cellStyle name="Финансовый 29 4" xfId="1906"/>
    <cellStyle name="Финансовый 3" xfId="1546"/>
    <cellStyle name="Финансовый 3 2" xfId="1547"/>
    <cellStyle name="Финансовый 3 2 2" xfId="1548"/>
    <cellStyle name="Финансовый 3 2 2 2" xfId="1549"/>
    <cellStyle name="Финансовый 3 2 2 2 2" xfId="1756"/>
    <cellStyle name="Финансовый 3 2 2 2 2 2" xfId="2066"/>
    <cellStyle name="Финансовый 3 2 2 2 3" xfId="1911"/>
    <cellStyle name="Финансовый 3 2 2 3" xfId="1755"/>
    <cellStyle name="Финансовый 3 2 2 3 2" xfId="2065"/>
    <cellStyle name="Финансовый 3 2 2 4" xfId="1910"/>
    <cellStyle name="Финансовый 3 2 3" xfId="1550"/>
    <cellStyle name="Финансовый 3 2 3 2" xfId="1757"/>
    <cellStyle name="Финансовый 3 2 3 2 2" xfId="2067"/>
    <cellStyle name="Финансовый 3 2 3 3" xfId="1912"/>
    <cellStyle name="Финансовый 3 2 4" xfId="1754"/>
    <cellStyle name="Финансовый 3 2 4 2" xfId="2064"/>
    <cellStyle name="Финансовый 3 2 5" xfId="1909"/>
    <cellStyle name="Финансовый 3 3" xfId="1551"/>
    <cellStyle name="Финансовый 3 4" xfId="1552"/>
    <cellStyle name="Финансовый 3 4 2" xfId="1758"/>
    <cellStyle name="Финансовый 3 4 2 2" xfId="2068"/>
    <cellStyle name="Финансовый 3 4 3" xfId="1913"/>
    <cellStyle name="Финансовый 3 5" xfId="1753"/>
    <cellStyle name="Финансовый 3 5 2" xfId="2063"/>
    <cellStyle name="Финансовый 3 6" xfId="1908"/>
    <cellStyle name="Финансовый 30" xfId="1553"/>
    <cellStyle name="Финансовый 30 2" xfId="1554"/>
    <cellStyle name="Финансовый 30 2 2" xfId="1760"/>
    <cellStyle name="Финансовый 30 2 2 2" xfId="2070"/>
    <cellStyle name="Финансовый 30 2 3" xfId="1915"/>
    <cellStyle name="Финансовый 30 3" xfId="1759"/>
    <cellStyle name="Финансовый 30 3 2" xfId="2069"/>
    <cellStyle name="Финансовый 30 4" xfId="1914"/>
    <cellStyle name="Финансовый 31" xfId="1555"/>
    <cellStyle name="Финансовый 31 2" xfId="1556"/>
    <cellStyle name="Финансовый 31 2 2" xfId="1762"/>
    <cellStyle name="Финансовый 31 2 2 2" xfId="2072"/>
    <cellStyle name="Финансовый 31 2 3" xfId="1917"/>
    <cellStyle name="Финансовый 31 3" xfId="1761"/>
    <cellStyle name="Финансовый 31 3 2" xfId="2071"/>
    <cellStyle name="Финансовый 31 4" xfId="1916"/>
    <cellStyle name="Финансовый 32" xfId="1557"/>
    <cellStyle name="Финансовый 32 2" xfId="1558"/>
    <cellStyle name="Финансовый 32 2 2" xfId="1764"/>
    <cellStyle name="Финансовый 32 2 2 2" xfId="2074"/>
    <cellStyle name="Финансовый 32 2 3" xfId="1919"/>
    <cellStyle name="Финансовый 32 3" xfId="1763"/>
    <cellStyle name="Финансовый 32 3 2" xfId="2073"/>
    <cellStyle name="Финансовый 32 4" xfId="1918"/>
    <cellStyle name="Финансовый 33" xfId="1559"/>
    <cellStyle name="Финансовый 33 2" xfId="1560"/>
    <cellStyle name="Финансовый 33 2 2" xfId="1766"/>
    <cellStyle name="Финансовый 33 2 2 2" xfId="2076"/>
    <cellStyle name="Финансовый 33 2 3" xfId="1921"/>
    <cellStyle name="Финансовый 33 3" xfId="1765"/>
    <cellStyle name="Финансовый 33 3 2" xfId="2075"/>
    <cellStyle name="Финансовый 33 4" xfId="1920"/>
    <cellStyle name="Финансовый 34" xfId="1561"/>
    <cellStyle name="Финансовый 34 2" xfId="1562"/>
    <cellStyle name="Финансовый 34 2 2" xfId="1768"/>
    <cellStyle name="Финансовый 34 2 2 2" xfId="2078"/>
    <cellStyle name="Финансовый 34 2 3" xfId="1923"/>
    <cellStyle name="Финансовый 34 3" xfId="1767"/>
    <cellStyle name="Финансовый 34 3 2" xfId="2077"/>
    <cellStyle name="Финансовый 34 4" xfId="1922"/>
    <cellStyle name="Финансовый 35" xfId="1563"/>
    <cellStyle name="Финансовый 35 2" xfId="1564"/>
    <cellStyle name="Финансовый 35 2 2" xfId="1770"/>
    <cellStyle name="Финансовый 35 2 2 2" xfId="2080"/>
    <cellStyle name="Финансовый 35 2 3" xfId="1925"/>
    <cellStyle name="Финансовый 35 3" xfId="1769"/>
    <cellStyle name="Финансовый 35 3 2" xfId="2079"/>
    <cellStyle name="Финансовый 35 4" xfId="1924"/>
    <cellStyle name="Финансовый 36" xfId="1565"/>
    <cellStyle name="Финансовый 36 2" xfId="1566"/>
    <cellStyle name="Финансовый 36 2 2" xfId="1772"/>
    <cellStyle name="Финансовый 36 2 2 2" xfId="2082"/>
    <cellStyle name="Финансовый 36 2 3" xfId="1927"/>
    <cellStyle name="Финансовый 36 3" xfId="1771"/>
    <cellStyle name="Финансовый 36 3 2" xfId="2081"/>
    <cellStyle name="Финансовый 36 4" xfId="1926"/>
    <cellStyle name="Финансовый 37" xfId="1567"/>
    <cellStyle name="Финансовый 37 2" xfId="1568"/>
    <cellStyle name="Финансовый 37 2 2" xfId="1774"/>
    <cellStyle name="Финансовый 37 2 2 2" xfId="2084"/>
    <cellStyle name="Финансовый 37 2 3" xfId="1929"/>
    <cellStyle name="Финансовый 37 3" xfId="1773"/>
    <cellStyle name="Финансовый 37 3 2" xfId="2083"/>
    <cellStyle name="Финансовый 37 4" xfId="1928"/>
    <cellStyle name="Финансовый 38" xfId="1569"/>
    <cellStyle name="Финансовый 38 2" xfId="1570"/>
    <cellStyle name="Финансовый 38 2 2" xfId="1776"/>
    <cellStyle name="Финансовый 38 2 2 2" xfId="2086"/>
    <cellStyle name="Финансовый 38 2 3" xfId="1931"/>
    <cellStyle name="Финансовый 38 3" xfId="1775"/>
    <cellStyle name="Финансовый 38 3 2" xfId="2085"/>
    <cellStyle name="Финансовый 38 4" xfId="1930"/>
    <cellStyle name="Финансовый 39" xfId="1571"/>
    <cellStyle name="Финансовый 4" xfId="1572"/>
    <cellStyle name="Финансовый 4 2" xfId="1573"/>
    <cellStyle name="Финансовый 4 2 2" xfId="1574"/>
    <cellStyle name="Финансовый 4 2 2 2" xfId="1779"/>
    <cellStyle name="Финансовый 4 2 2 2 2" xfId="2089"/>
    <cellStyle name="Финансовый 4 2 2 3" xfId="1934"/>
    <cellStyle name="Финансовый 4 2 3" xfId="1778"/>
    <cellStyle name="Финансовый 4 2 3 2" xfId="2088"/>
    <cellStyle name="Финансовый 4 2 4" xfId="1933"/>
    <cellStyle name="Финансовый 4 3" xfId="1575"/>
    <cellStyle name="Финансовый 4 4" xfId="1576"/>
    <cellStyle name="Финансовый 4 4 2" xfId="1780"/>
    <cellStyle name="Финансовый 4 4 2 2" xfId="2090"/>
    <cellStyle name="Финансовый 4 4 3" xfId="1935"/>
    <cellStyle name="Финансовый 4 5" xfId="1777"/>
    <cellStyle name="Финансовый 4 5 2" xfId="2087"/>
    <cellStyle name="Финансовый 4 6" xfId="1932"/>
    <cellStyle name="Финансовый 40" xfId="1577"/>
    <cellStyle name="Финансовый 41" xfId="1578"/>
    <cellStyle name="Финансовый 42" xfId="1579"/>
    <cellStyle name="Финансовый 43" xfId="1580"/>
    <cellStyle name="Финансовый 44" xfId="1581"/>
    <cellStyle name="Финансовый 45" xfId="1582"/>
    <cellStyle name="Финансовый 46" xfId="1583"/>
    <cellStyle name="Финансовый 47" xfId="1584"/>
    <cellStyle name="Финансовый 48" xfId="1585"/>
    <cellStyle name="Финансовый 49" xfId="1586"/>
    <cellStyle name="Финансовый 5" xfId="1587"/>
    <cellStyle name="Финансовый 5 2" xfId="1588"/>
    <cellStyle name="Финансовый 5 2 2" xfId="1589"/>
    <cellStyle name="Финансовый 5 2 2 2" xfId="1783"/>
    <cellStyle name="Финансовый 5 2 2 2 2" xfId="2093"/>
    <cellStyle name="Финансовый 5 2 2 3" xfId="1938"/>
    <cellStyle name="Финансовый 5 2 3" xfId="1782"/>
    <cellStyle name="Финансовый 5 2 3 2" xfId="2092"/>
    <cellStyle name="Финансовый 5 2 4" xfId="1937"/>
    <cellStyle name="Финансовый 5 3" xfId="1590"/>
    <cellStyle name="Финансовый 5 3 2" xfId="1784"/>
    <cellStyle name="Финансовый 5 3 2 2" xfId="2094"/>
    <cellStyle name="Финансовый 5 3 3" xfId="1939"/>
    <cellStyle name="Финансовый 5 4" xfId="1781"/>
    <cellStyle name="Финансовый 5 4 2" xfId="2091"/>
    <cellStyle name="Финансовый 5 5" xfId="1936"/>
    <cellStyle name="Финансовый 50" xfId="1591"/>
    <cellStyle name="Финансовый 51" xfId="1592"/>
    <cellStyle name="Финансовый 52" xfId="1593"/>
    <cellStyle name="Финансовый 53" xfId="1594"/>
    <cellStyle name="Финансовый 54" xfId="1595"/>
    <cellStyle name="Финансовый 55" xfId="1596"/>
    <cellStyle name="Финансовый 56" xfId="1597"/>
    <cellStyle name="Финансовый 57" xfId="1598"/>
    <cellStyle name="Финансовый 58" xfId="1599"/>
    <cellStyle name="Финансовый 59" xfId="1600"/>
    <cellStyle name="Финансовый 6" xfId="1601"/>
    <cellStyle name="Финансовый 6 2" xfId="1602"/>
    <cellStyle name="Финансовый 6 2 2" xfId="1603"/>
    <cellStyle name="Финансовый 6 2 2 2" xfId="1787"/>
    <cellStyle name="Финансовый 6 2 2 2 2" xfId="2097"/>
    <cellStyle name="Финансовый 6 2 2 3" xfId="1942"/>
    <cellStyle name="Финансовый 6 2 3" xfId="1786"/>
    <cellStyle name="Финансовый 6 2 3 2" xfId="2096"/>
    <cellStyle name="Финансовый 6 2 4" xfId="1941"/>
    <cellStyle name="Финансовый 6 3" xfId="1604"/>
    <cellStyle name="Финансовый 6 3 2" xfId="1788"/>
    <cellStyle name="Финансовый 6 3 2 2" xfId="2098"/>
    <cellStyle name="Финансовый 6 3 3" xfId="1943"/>
    <cellStyle name="Финансовый 6 4" xfId="1785"/>
    <cellStyle name="Финансовый 6 4 2" xfId="2095"/>
    <cellStyle name="Финансовый 6 5" xfId="1940"/>
    <cellStyle name="Финансовый 60" xfId="1605"/>
    <cellStyle name="Финансовый 61" xfId="1606"/>
    <cellStyle name="Финансовый 62" xfId="1607"/>
    <cellStyle name="Финансовый 63" xfId="1608"/>
    <cellStyle name="Финансовый 64" xfId="1609"/>
    <cellStyle name="Финансовый 65" xfId="1610"/>
    <cellStyle name="Финансовый 66" xfId="1611"/>
    <cellStyle name="Финансовый 67" xfId="1612"/>
    <cellStyle name="Финансовый 68" xfId="1613"/>
    <cellStyle name="Финансовый 69" xfId="1614"/>
    <cellStyle name="Финансовый 7" xfId="1615"/>
    <cellStyle name="Финансовый 7 2" xfId="1616"/>
    <cellStyle name="Финансовый 7 2 2" xfId="1617"/>
    <cellStyle name="Финансовый 7 2 2 2" xfId="1791"/>
    <cellStyle name="Финансовый 7 2 2 2 2" xfId="2101"/>
    <cellStyle name="Финансовый 7 2 2 3" xfId="1946"/>
    <cellStyle name="Финансовый 7 2 3" xfId="1790"/>
    <cellStyle name="Финансовый 7 2 3 2" xfId="2100"/>
    <cellStyle name="Финансовый 7 2 4" xfId="1945"/>
    <cellStyle name="Финансовый 7 3" xfId="1618"/>
    <cellStyle name="Финансовый 7 3 2" xfId="1792"/>
    <cellStyle name="Финансовый 7 3 2 2" xfId="2102"/>
    <cellStyle name="Финансовый 7 3 3" xfId="1947"/>
    <cellStyle name="Финансовый 7 4" xfId="1789"/>
    <cellStyle name="Финансовый 7 4 2" xfId="2099"/>
    <cellStyle name="Финансовый 7 5" xfId="1944"/>
    <cellStyle name="Финансовый 70" xfId="1619"/>
    <cellStyle name="Финансовый 71" xfId="1620"/>
    <cellStyle name="Финансовый 8" xfId="1621"/>
    <cellStyle name="Финансовый 8 2" xfId="1622"/>
    <cellStyle name="Финансовый 8 2 2" xfId="1623"/>
    <cellStyle name="Финансовый 8 2 2 2" xfId="1795"/>
    <cellStyle name="Финансовый 8 2 2 2 2" xfId="2105"/>
    <cellStyle name="Финансовый 8 2 2 3" xfId="1950"/>
    <cellStyle name="Финансовый 8 2 3" xfId="1794"/>
    <cellStyle name="Финансовый 8 2 3 2" xfId="2104"/>
    <cellStyle name="Финансовый 8 2 4" xfId="1949"/>
    <cellStyle name="Финансовый 8 3" xfId="1624"/>
    <cellStyle name="Финансовый 8 3 2" xfId="1796"/>
    <cellStyle name="Финансовый 8 3 2 2" xfId="2106"/>
    <cellStyle name="Финансовый 8 3 3" xfId="1951"/>
    <cellStyle name="Финансовый 8 4" xfId="1793"/>
    <cellStyle name="Финансовый 8 4 2" xfId="2103"/>
    <cellStyle name="Финансовый 8 5" xfId="1948"/>
    <cellStyle name="Финансовый 9" xfId="1625"/>
    <cellStyle name="Финансовый 9 2" xfId="1626"/>
    <cellStyle name="Финансовый 9 2 2" xfId="1627"/>
    <cellStyle name="Финансовый 9 2 2 2" xfId="1799"/>
    <cellStyle name="Финансовый 9 2 2 2 2" xfId="2109"/>
    <cellStyle name="Финансовый 9 2 2 3" xfId="1954"/>
    <cellStyle name="Финансовый 9 2 3" xfId="1798"/>
    <cellStyle name="Финансовый 9 2 3 2" xfId="2108"/>
    <cellStyle name="Финансовый 9 2 4" xfId="1953"/>
    <cellStyle name="Финансовый 9 3" xfId="1628"/>
    <cellStyle name="Финансовый 9 3 2" xfId="1800"/>
    <cellStyle name="Финансовый 9 3 2 2" xfId="2110"/>
    <cellStyle name="Финансовый 9 3 3" xfId="1955"/>
    <cellStyle name="Финансовый 9 4" xfId="1797"/>
    <cellStyle name="Финансовый 9 4 2" xfId="2107"/>
    <cellStyle name="Финансовый 9 5" xfId="1952"/>
    <cellStyle name="Хороший 2" xfId="1629"/>
    <cellStyle name="표준_★Final_CIS model master_20101214" xfId="1630"/>
    <cellStyle name="常规 2" xfId="1631"/>
    <cellStyle name="常规 2 54" xfId="1632"/>
    <cellStyle name="常规_2008 Pricing_GMV R22_Before August 2008_USD_2009 GREE CAC Pricing for Q4 season_Valid thru Nov 2009" xfId="1633"/>
    <cellStyle name="標準 2" xfId="1634"/>
    <cellStyle name="標準 3" xfId="1635"/>
    <cellStyle name="標準_2011.04.12 VRF Offer Package" xfId="1636"/>
  </cellStyles>
  <dxfs count="21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300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4.png"/><Relationship Id="rId18" Type="http://schemas.openxmlformats.org/officeDocument/2006/relationships/hyperlink" Target="#'Flexible Multi'!A1"/><Relationship Id="rId26" Type="http://schemas.openxmlformats.org/officeDocument/2006/relationships/image" Target="../media/image11.png"/><Relationship Id="rId3" Type="http://schemas.openxmlformats.org/officeDocument/2006/relationships/hyperlink" Target="#'&#1047;&#1072;&#1097;&#1080;&#1090;&#1072; &#1086;&#1073;&#1098;&#1077;&#1082;&#1090;&#1086;&#1074;'!A1"/><Relationship Id="rId21" Type="http://schemas.openxmlformats.org/officeDocument/2006/relationships/image" Target="../media/image8.png"/><Relationship Id="rId7" Type="http://schemas.openxmlformats.org/officeDocument/2006/relationships/hyperlink" Target="#'&#1041;&#1099;&#1090;&#1086;&#1074;&#1072;&#1103; &#1089;&#1077;&#1088;&#1080;&#1103;'!A1"/><Relationship Id="rId12" Type="http://schemas.openxmlformats.org/officeDocument/2006/relationships/hyperlink" Target="#'&#1059;&#1085;&#1080;&#1074;&#1077;&#1088;&#1089;&#1072;&#1083;&#1100;&#1085;&#1099;&#1077; &#1073;&#1083;&#1086;&#1082;&#1080;'!R3C2"/><Relationship Id="rId17" Type="http://schemas.openxmlformats.org/officeDocument/2006/relationships/image" Target="../media/image6.png"/><Relationship Id="rId25" Type="http://schemas.openxmlformats.org/officeDocument/2006/relationships/image" Target="../media/image10.png"/><Relationship Id="rId2" Type="http://schemas.openxmlformats.org/officeDocument/2006/relationships/image" Target="../media/image1.png"/><Relationship Id="rId16" Type="http://schemas.openxmlformats.org/officeDocument/2006/relationships/hyperlink" Target="#'Big Multi'!A1"/><Relationship Id="rId20" Type="http://schemas.openxmlformats.org/officeDocument/2006/relationships/hyperlink" Target="#VRF!A1"/><Relationship Id="rId1" Type="http://schemas.openxmlformats.org/officeDocument/2006/relationships/hyperlink" Target="http://www.general-aircond.ru/" TargetMode="External"/><Relationship Id="rId6" Type="http://schemas.openxmlformats.org/officeDocument/2006/relationships/hyperlink" Target="#'&#1041;&#1099;&#1090;&#1086;&#1074;&#1072;&#1103; &#1089;&#1077;&#1088;&#1080;&#1103;'!B3"/><Relationship Id="rId11" Type="http://schemas.openxmlformats.org/officeDocument/2006/relationships/hyperlink" Target="#'&#1059;&#1085;&#1080;&#1074;&#1077;&#1088;&#1089;&#1072;&#1083;&#1100;&#1085;&#1099;&#1077; &#1073;&#1083;&#1086;&#1082;&#1080;'!A1"/><Relationship Id="rId24" Type="http://schemas.openxmlformats.org/officeDocument/2006/relationships/hyperlink" Target="#'&#1047;&#1080;&#1084;&#1085;&#1080;&#1081; &#1082;&#1086;&#1084;&#1087;&#1083;&#1077;&#1082;&#1090;'!&#1054;&#1073;&#1083;&#1072;&#1089;&#1090;&#1100;_&#1087;&#1077;&#1095;&#1072;&#1090;&#1080;"/><Relationship Id="rId5" Type="http://schemas.openxmlformats.org/officeDocument/2006/relationships/hyperlink" Target="#'&#1050;&#1072;&#1083;&#1100;&#1082;&#1091;&#1083;&#1103;&#1090;&#1086;&#1088; '!A1"/><Relationship Id="rId15" Type="http://schemas.openxmlformats.org/officeDocument/2006/relationships/image" Target="../media/image5.png"/><Relationship Id="rId23" Type="http://schemas.openxmlformats.org/officeDocument/2006/relationships/image" Target="../media/image9.png"/><Relationship Id="rId10" Type="http://schemas.openxmlformats.org/officeDocument/2006/relationships/image" Target="../media/image3.png"/><Relationship Id="rId19" Type="http://schemas.openxmlformats.org/officeDocument/2006/relationships/image" Target="../media/image7.png"/><Relationship Id="rId4" Type="http://schemas.openxmlformats.org/officeDocument/2006/relationships/hyperlink" Target="#&#1044;&#1086;&#1089;&#1090;&#1072;&#1074;&#1082;&#1072;!A1"/><Relationship Id="rId9" Type="http://schemas.openxmlformats.org/officeDocument/2006/relationships/hyperlink" Target="#'&#1050;&#1072;&#1089;&#1089;&#1077;&#1090;&#1085;&#1099;&#1077; &#1073;&#1083;&#1086;&#1082;&#1080;'!A1"/><Relationship Id="rId14" Type="http://schemas.openxmlformats.org/officeDocument/2006/relationships/hyperlink" Target="#'&#1050;&#1072;&#1085;&#1072;&#1083;&#1100;&#1085;&#1099;&#1077; &#1073;&#1083;&#1086;&#1082;&#1080;'!A1"/><Relationship Id="rId22" Type="http://schemas.openxmlformats.org/officeDocument/2006/relationships/hyperlink" Target="#' WaterStage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19.emf"/><Relationship Id="rId1" Type="http://schemas.openxmlformats.org/officeDocument/2006/relationships/hyperlink" Target="http://www.general-aircond.ru/" TargetMode="External"/><Relationship Id="rId5" Type="http://schemas.openxmlformats.org/officeDocument/2006/relationships/image" Target="../media/image37.emf"/><Relationship Id="rId4" Type="http://schemas.openxmlformats.org/officeDocument/2006/relationships/hyperlink" Target="http://www.general-aircond.ru/plugins/catalog/catalog.php?act=cat&amp;id=8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19.emf"/><Relationship Id="rId1" Type="http://schemas.openxmlformats.org/officeDocument/2006/relationships/hyperlink" Target="http://www.general-russia.ru/" TargetMode="External"/><Relationship Id="rId4" Type="http://schemas.openxmlformats.org/officeDocument/2006/relationships/hyperlink" Target="http://www.general-aircond.ru/plugins/catalog/catalog.php?act=cat&amp;id=51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19.emf"/><Relationship Id="rId1" Type="http://schemas.openxmlformats.org/officeDocument/2006/relationships/hyperlink" Target="http://www.general-russia.ru/" TargetMode="External"/><Relationship Id="rId4" Type="http://schemas.openxmlformats.org/officeDocument/2006/relationships/image" Target="../media/image5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hyperlink" Target="http://pecom.ru/ru/" TargetMode="External"/><Relationship Id="rId7" Type="http://schemas.openxmlformats.org/officeDocument/2006/relationships/hyperlink" Target="http://www.glav-dostavka.ru/" TargetMode="External"/><Relationship Id="rId2" Type="http://schemas.openxmlformats.org/officeDocument/2006/relationships/image" Target="../media/image19.emf"/><Relationship Id="rId1" Type="http://schemas.openxmlformats.org/officeDocument/2006/relationships/hyperlink" Target="http://www.general-russia.ru/" TargetMode="External"/><Relationship Id="rId6" Type="http://schemas.openxmlformats.org/officeDocument/2006/relationships/image" Target="../media/image52.png"/><Relationship Id="rId5" Type="http://schemas.openxmlformats.org/officeDocument/2006/relationships/hyperlink" Target="http://www.magic-trans.ru/" TargetMode="External"/><Relationship Id="rId4" Type="http://schemas.openxmlformats.org/officeDocument/2006/relationships/image" Target="../media/image51.jpeg"/><Relationship Id="rId9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hyperlink" Target="#&#1052;&#1077;&#1085;&#1102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eneral-aircond.ru/plugins/catalog/catalog.php?act=cat&amp;id=66" TargetMode="External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jpeg"/><Relationship Id="rId3" Type="http://schemas.openxmlformats.org/officeDocument/2006/relationships/image" Target="../media/image14.jpeg"/><Relationship Id="rId21" Type="http://schemas.openxmlformats.org/officeDocument/2006/relationships/image" Target="../media/image30.png"/><Relationship Id="rId7" Type="http://schemas.openxmlformats.org/officeDocument/2006/relationships/image" Target="../media/image18.jpe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2" Type="http://schemas.openxmlformats.org/officeDocument/2006/relationships/image" Target="../media/image13.jpe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hyperlink" Target="#&#1052;&#1077;&#1085;&#1102;!R1C1"/><Relationship Id="rId6" Type="http://schemas.openxmlformats.org/officeDocument/2006/relationships/image" Target="../media/image17.jpe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6.emf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emf"/><Relationship Id="rId10" Type="http://schemas.openxmlformats.org/officeDocument/2006/relationships/image" Target="../media/image19.emf"/><Relationship Id="rId19" Type="http://schemas.openxmlformats.org/officeDocument/2006/relationships/image" Target="../media/image28.png"/><Relationship Id="rId4" Type="http://schemas.openxmlformats.org/officeDocument/2006/relationships/image" Target="../media/image15.jpeg"/><Relationship Id="rId9" Type="http://schemas.openxmlformats.org/officeDocument/2006/relationships/hyperlink" Target="http://www.general-aircond.ru/" TargetMode="External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19.emf"/><Relationship Id="rId7" Type="http://schemas.openxmlformats.org/officeDocument/2006/relationships/image" Target="../media/image39.png"/><Relationship Id="rId2" Type="http://schemas.openxmlformats.org/officeDocument/2006/relationships/hyperlink" Target="http://www.general-aircond.ru/" TargetMode="External"/><Relationship Id="rId1" Type="http://schemas.openxmlformats.org/officeDocument/2006/relationships/hyperlink" Target="http://www.general-aircond.ru/plugins/catalog/catalog.php?act=cat&amp;id=4" TargetMode="External"/><Relationship Id="rId6" Type="http://schemas.openxmlformats.org/officeDocument/2006/relationships/image" Target="../media/image38.png"/><Relationship Id="rId5" Type="http://schemas.openxmlformats.org/officeDocument/2006/relationships/image" Target="../media/image20.png"/><Relationship Id="rId4" Type="http://schemas.openxmlformats.org/officeDocument/2006/relationships/hyperlink" Target="#&#1052;&#1077;&#1085;&#1102;!R1C1"/><Relationship Id="rId9" Type="http://schemas.openxmlformats.org/officeDocument/2006/relationships/image" Target="../media/image3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41.png"/><Relationship Id="rId2" Type="http://schemas.openxmlformats.org/officeDocument/2006/relationships/image" Target="../media/image19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40.png"/><Relationship Id="rId11" Type="http://schemas.openxmlformats.org/officeDocument/2006/relationships/image" Target="../media/image43.png"/><Relationship Id="rId5" Type="http://schemas.openxmlformats.org/officeDocument/2006/relationships/image" Target="../media/image20.png"/><Relationship Id="rId10" Type="http://schemas.openxmlformats.org/officeDocument/2006/relationships/image" Target="../media/image37.emf"/><Relationship Id="rId4" Type="http://schemas.openxmlformats.org/officeDocument/2006/relationships/hyperlink" Target="http://www.general-aircond.ru/plugins/catalog/catalog.php?act=cat&amp;id=4" TargetMode="External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eneral-aircond.ru/" TargetMode="External"/><Relationship Id="rId7" Type="http://schemas.openxmlformats.org/officeDocument/2006/relationships/image" Target="../media/image45.png"/><Relationship Id="rId2" Type="http://schemas.openxmlformats.org/officeDocument/2006/relationships/hyperlink" Target="http://www.general-aircond.ru/plugins/catalog/catalog.php?act=cat&amp;id=4" TargetMode="External"/><Relationship Id="rId1" Type="http://schemas.openxmlformats.org/officeDocument/2006/relationships/image" Target="../media/image44.png"/><Relationship Id="rId6" Type="http://schemas.openxmlformats.org/officeDocument/2006/relationships/image" Target="../media/image20.png"/><Relationship Id="rId5" Type="http://schemas.openxmlformats.org/officeDocument/2006/relationships/hyperlink" Target="#&#1052;&#1077;&#1085;&#1102;!R1C1"/><Relationship Id="rId4" Type="http://schemas.openxmlformats.org/officeDocument/2006/relationships/image" Target="../media/image1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7" Type="http://schemas.openxmlformats.org/officeDocument/2006/relationships/hyperlink" Target="http://www.general-aircond.ru/plugins/catalog/catalog.php?act=cat&amp;id=94" TargetMode="External"/><Relationship Id="rId2" Type="http://schemas.openxmlformats.org/officeDocument/2006/relationships/image" Target="../media/image19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45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24.png"/><Relationship Id="rId3" Type="http://schemas.openxmlformats.org/officeDocument/2006/relationships/image" Target="../media/image22.png"/><Relationship Id="rId7" Type="http://schemas.openxmlformats.org/officeDocument/2006/relationships/image" Target="../media/image39.png"/><Relationship Id="rId12" Type="http://schemas.openxmlformats.org/officeDocument/2006/relationships/image" Target="../media/image40.png"/><Relationship Id="rId2" Type="http://schemas.openxmlformats.org/officeDocument/2006/relationships/image" Target="../media/image19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25.png"/><Relationship Id="rId11" Type="http://schemas.openxmlformats.org/officeDocument/2006/relationships/hyperlink" Target="#&#1052;&#1077;&#1085;&#1102;!R1C1"/><Relationship Id="rId5" Type="http://schemas.openxmlformats.org/officeDocument/2006/relationships/image" Target="../media/image26.png"/><Relationship Id="rId10" Type="http://schemas.openxmlformats.org/officeDocument/2006/relationships/image" Target="../media/image45.png"/><Relationship Id="rId4" Type="http://schemas.openxmlformats.org/officeDocument/2006/relationships/image" Target="../media/image20.png"/><Relationship Id="rId9" Type="http://schemas.openxmlformats.org/officeDocument/2006/relationships/image" Target="../media/image4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37.emf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40.png"/><Relationship Id="rId12" Type="http://schemas.openxmlformats.org/officeDocument/2006/relationships/image" Target="../media/image47.png"/><Relationship Id="rId2" Type="http://schemas.openxmlformats.org/officeDocument/2006/relationships/image" Target="../media/image19.emf"/><Relationship Id="rId16" Type="http://schemas.openxmlformats.org/officeDocument/2006/relationships/image" Target="../media/image49.png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9.png"/><Relationship Id="rId11" Type="http://schemas.openxmlformats.org/officeDocument/2006/relationships/image" Target="../media/image20.png"/><Relationship Id="rId5" Type="http://schemas.openxmlformats.org/officeDocument/2006/relationships/image" Target="../media/image26.png"/><Relationship Id="rId15" Type="http://schemas.openxmlformats.org/officeDocument/2006/relationships/image" Target="../media/image48.png"/><Relationship Id="rId10" Type="http://schemas.openxmlformats.org/officeDocument/2006/relationships/image" Target="../media/image29.png"/><Relationship Id="rId4" Type="http://schemas.openxmlformats.org/officeDocument/2006/relationships/hyperlink" Target="http://www.general-aircond.ru/plugins/catalog/catalog.php?act=cat&amp;id=6" TargetMode="External"/><Relationship Id="rId9" Type="http://schemas.openxmlformats.org/officeDocument/2006/relationships/image" Target="../media/image46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588646</xdr:colOff>
      <xdr:row>9</xdr:row>
      <xdr:rowOff>116205</xdr:rowOff>
    </xdr:from>
    <xdr:to>
      <xdr:col>13</xdr:col>
      <xdr:colOff>476295</xdr:colOff>
      <xdr:row>22</xdr:row>
      <xdr:rowOff>143829</xdr:rowOff>
    </xdr:to>
    <xdr:sp macro="" textlink="">
      <xdr:nvSpPr>
        <xdr:cNvPr id="17" name="Прямоугольник 16"/>
        <xdr:cNvSpPr/>
      </xdr:nvSpPr>
      <xdr:spPr>
        <a:xfrm>
          <a:off x="4238626" y="2219325"/>
          <a:ext cx="4162424" cy="2140278"/>
        </a:xfrm>
        <a:prstGeom prst="rect">
          <a:avLst/>
        </a:prstGeom>
        <a:solidFill>
          <a:schemeClr val="bg1">
            <a:alpha val="5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ru-RU"/>
        </a:p>
      </xdr:txBody>
    </xdr:sp>
    <xdr:clientData/>
  </xdr:twoCellAnchor>
  <xdr:twoCellAnchor>
    <xdr:from>
      <xdr:col>6</xdr:col>
      <xdr:colOff>588644</xdr:colOff>
      <xdr:row>23</xdr:row>
      <xdr:rowOff>47625</xdr:rowOff>
    </xdr:from>
    <xdr:to>
      <xdr:col>13</xdr:col>
      <xdr:colOff>483934</xdr:colOff>
      <xdr:row>41</xdr:row>
      <xdr:rowOff>28594</xdr:rowOff>
    </xdr:to>
    <xdr:sp macro="" textlink="">
      <xdr:nvSpPr>
        <xdr:cNvPr id="30" name="Прямоугольник 29"/>
        <xdr:cNvSpPr/>
      </xdr:nvSpPr>
      <xdr:spPr>
        <a:xfrm>
          <a:off x="4238624" y="4495800"/>
          <a:ext cx="4181475" cy="2886076"/>
        </a:xfrm>
        <a:prstGeom prst="rect">
          <a:avLst/>
        </a:prstGeom>
        <a:solidFill>
          <a:schemeClr val="bg1">
            <a:alpha val="73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ru-RU"/>
        </a:p>
      </xdr:txBody>
    </xdr:sp>
    <xdr:clientData/>
  </xdr:twoCellAnchor>
  <xdr:twoCellAnchor editAs="oneCell">
    <xdr:from>
      <xdr:col>0</xdr:col>
      <xdr:colOff>156533</xdr:colOff>
      <xdr:row>1</xdr:row>
      <xdr:rowOff>151262</xdr:rowOff>
    </xdr:from>
    <xdr:to>
      <xdr:col>5</xdr:col>
      <xdr:colOff>71487</xdr:colOff>
      <xdr:row>4</xdr:row>
      <xdr:rowOff>159873</xdr:rowOff>
    </xdr:to>
    <xdr:pic>
      <xdr:nvPicPr>
        <xdr:cNvPr id="358805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-662"/>
        <a:stretch>
          <a:fillRect/>
        </a:stretch>
      </xdr:blipFill>
      <xdr:spPr bwMode="auto">
        <a:xfrm>
          <a:off x="156533" y="313007"/>
          <a:ext cx="2970143" cy="493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414721</xdr:colOff>
      <xdr:row>2</xdr:row>
      <xdr:rowOff>3787</xdr:rowOff>
    </xdr:from>
    <xdr:to>
      <xdr:col>9</xdr:col>
      <xdr:colOff>282954</xdr:colOff>
      <xdr:row>5</xdr:row>
      <xdr:rowOff>120776</xdr:rowOff>
    </xdr:to>
    <xdr:sp macro="" textlink="">
      <xdr:nvSpPr>
        <xdr:cNvPr id="3" name="Прямоугольник 2"/>
        <xdr:cNvSpPr/>
      </xdr:nvSpPr>
      <xdr:spPr>
        <a:xfrm>
          <a:off x="3469910" y="327278"/>
          <a:ext cx="2312384" cy="60222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600" b="0">
              <a:latin typeface="+mn-lt"/>
              <a:ea typeface="Verdana" pitchFamily="34" charset="0"/>
              <a:cs typeface="Arial" pitchFamily="34" charset="0"/>
            </a:rPr>
            <a:t>Японские</a:t>
          </a:r>
          <a:r>
            <a:rPr lang="ru-RU" sz="1600" b="0" baseline="0">
              <a:latin typeface="+mn-lt"/>
              <a:ea typeface="Verdana" pitchFamily="34" charset="0"/>
              <a:cs typeface="Arial" pitchFamily="34" charset="0"/>
            </a:rPr>
            <a:t> ситемы </a:t>
          </a:r>
          <a:endParaRPr lang="en-US" sz="1600" b="0" baseline="0">
            <a:latin typeface="+mn-lt"/>
            <a:ea typeface="Verdana" pitchFamily="34" charset="0"/>
            <a:cs typeface="Arial" pitchFamily="34" charset="0"/>
          </a:endParaRPr>
        </a:p>
        <a:p>
          <a:r>
            <a:rPr lang="ru-RU" sz="1600" b="0" baseline="0">
              <a:latin typeface="+mn-lt"/>
              <a:ea typeface="Verdana" pitchFamily="34" charset="0"/>
              <a:cs typeface="Arial" pitchFamily="34" charset="0"/>
            </a:rPr>
            <a:t>кондиционирования</a:t>
          </a:r>
          <a:endParaRPr lang="ru-RU" sz="1600" b="0">
            <a:latin typeface="+mn-lt"/>
            <a:ea typeface="Verdana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147367</xdr:colOff>
      <xdr:row>1</xdr:row>
      <xdr:rowOff>118788</xdr:rowOff>
    </xdr:from>
    <xdr:to>
      <xdr:col>14</xdr:col>
      <xdr:colOff>610239</xdr:colOff>
      <xdr:row>4</xdr:row>
      <xdr:rowOff>44974</xdr:rowOff>
    </xdr:to>
    <xdr:sp macro="" textlink="">
      <xdr:nvSpPr>
        <xdr:cNvPr id="4" name="Прямоугольник 3"/>
        <xdr:cNvSpPr/>
      </xdr:nvSpPr>
      <xdr:spPr>
        <a:xfrm>
          <a:off x="7479820" y="280533"/>
          <a:ext cx="1684947" cy="41142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>
              <a:solidFill>
                <a:schemeClr val="bg1">
                  <a:lumMod val="75000"/>
                </a:schemeClr>
              </a:solidFill>
              <a:latin typeface="+mn-lt"/>
              <a:cs typeface="Arial" pitchFamily="34" charset="0"/>
            </a:rPr>
            <a:t>ПРАЙС-ЛИСТ</a:t>
          </a:r>
          <a:r>
            <a:rPr lang="ru-RU" sz="2000" b="1">
              <a:latin typeface="+mn-lt"/>
              <a:cs typeface="Arial" pitchFamily="34" charset="0"/>
            </a:rPr>
            <a:t> </a:t>
          </a:r>
          <a:endParaRPr lang="en-US" sz="2000" b="1"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296533</xdr:colOff>
      <xdr:row>6</xdr:row>
      <xdr:rowOff>89858</xdr:rowOff>
    </xdr:from>
    <xdr:to>
      <xdr:col>13</xdr:col>
      <xdr:colOff>197688</xdr:colOff>
      <xdr:row>40</xdr:row>
      <xdr:rowOff>71887</xdr:rowOff>
    </xdr:to>
    <xdr:sp macro="" textlink="">
      <xdr:nvSpPr>
        <xdr:cNvPr id="23" name="Прямоугольник 22"/>
        <xdr:cNvSpPr/>
      </xdr:nvSpPr>
      <xdr:spPr>
        <a:xfrm>
          <a:off x="296533" y="1060330"/>
          <a:ext cx="7844646" cy="55442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525888</xdr:colOff>
      <xdr:row>10</xdr:row>
      <xdr:rowOff>18042</xdr:rowOff>
    </xdr:from>
    <xdr:to>
      <xdr:col>5</xdr:col>
      <xdr:colOff>419208</xdr:colOff>
      <xdr:row>12</xdr:row>
      <xdr:rowOff>68693</xdr:rowOff>
    </xdr:to>
    <xdr:sp macro="" textlink="">
      <xdr:nvSpPr>
        <xdr:cNvPr id="11" name="Прямоугольник 10"/>
        <xdr:cNvSpPr/>
      </xdr:nvSpPr>
      <xdr:spPr>
        <a:xfrm>
          <a:off x="1136926" y="1698396"/>
          <a:ext cx="2337471" cy="3741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fontAlgn="b"/>
          <a:r>
            <a:rPr lang="ru-RU" b="1">
              <a:solidFill>
                <a:srgbClr val="E30017"/>
              </a:solidFill>
              <a:latin typeface="+mn-lt"/>
              <a:cs typeface="Arial" pitchFamily="34" charset="0"/>
            </a:rPr>
            <a:t>СПЛИТ-СИСТЕМЫ</a:t>
          </a:r>
        </a:p>
      </xdr:txBody>
    </xdr:sp>
    <xdr:clientData/>
  </xdr:twoCellAnchor>
  <xdr:twoCellAnchor>
    <xdr:from>
      <xdr:col>7</xdr:col>
      <xdr:colOff>561976</xdr:colOff>
      <xdr:row>9</xdr:row>
      <xdr:rowOff>144780</xdr:rowOff>
    </xdr:from>
    <xdr:to>
      <xdr:col>13</xdr:col>
      <xdr:colOff>142002</xdr:colOff>
      <xdr:row>12</xdr:row>
      <xdr:rowOff>33685</xdr:rowOff>
    </xdr:to>
    <xdr:sp macro="" textlink="">
      <xdr:nvSpPr>
        <xdr:cNvPr id="31" name="Прямоугольник 30"/>
        <xdr:cNvSpPr/>
      </xdr:nvSpPr>
      <xdr:spPr>
        <a:xfrm>
          <a:off x="4839240" y="1663388"/>
          <a:ext cx="3246253" cy="3741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b="1">
              <a:solidFill>
                <a:srgbClr val="E30017"/>
              </a:solidFill>
              <a:latin typeface="+mn-lt"/>
              <a:cs typeface="Arial" pitchFamily="34" charset="0"/>
            </a:rPr>
            <a:t>МУЛЬТИСПЛИТ-СИСТЕМЫ </a:t>
          </a:r>
        </a:p>
      </xdr:txBody>
    </xdr:sp>
    <xdr:clientData/>
  </xdr:twoCellAnchor>
  <xdr:twoCellAnchor>
    <xdr:from>
      <xdr:col>13</xdr:col>
      <xdr:colOff>602191</xdr:colOff>
      <xdr:row>10</xdr:row>
      <xdr:rowOff>116816</xdr:rowOff>
    </xdr:from>
    <xdr:to>
      <xdr:col>17</xdr:col>
      <xdr:colOff>368419</xdr:colOff>
      <xdr:row>15</xdr:row>
      <xdr:rowOff>157798</xdr:rowOff>
    </xdr:to>
    <xdr:sp macro="" textlink="">
      <xdr:nvSpPr>
        <xdr:cNvPr id="32" name="Скругленный прямоугольник 31">
          <a:hlinkClick xmlns:r="http://schemas.openxmlformats.org/officeDocument/2006/relationships" r:id="rId3"/>
        </xdr:cNvPr>
        <xdr:cNvSpPr/>
      </xdr:nvSpPr>
      <xdr:spPr>
        <a:xfrm>
          <a:off x="8545682" y="1797170"/>
          <a:ext cx="2210379" cy="849708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300" b="1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ЗАЩИТА </a:t>
          </a:r>
          <a:endParaRPr lang="en-US" sz="1300" b="1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  <a:p>
          <a:pPr marL="0" indent="0" algn="ctr" defTabSz="914400" rtl="0" eaLnBrk="1" fontAlgn="b" latinLnBrk="0" hangingPunct="1"/>
          <a:r>
            <a:rPr lang="ru-RU" sz="1300" b="1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ОБЪЕКТОВ</a:t>
          </a:r>
        </a:p>
      </xdr:txBody>
    </xdr:sp>
    <xdr:clientData/>
  </xdr:twoCellAnchor>
  <xdr:twoCellAnchor>
    <xdr:from>
      <xdr:col>14</xdr:col>
      <xdr:colOff>2796</xdr:colOff>
      <xdr:row>26</xdr:row>
      <xdr:rowOff>92553</xdr:rowOff>
    </xdr:from>
    <xdr:to>
      <xdr:col>17</xdr:col>
      <xdr:colOff>359433</xdr:colOff>
      <xdr:row>30</xdr:row>
      <xdr:rowOff>71797</xdr:rowOff>
    </xdr:to>
    <xdr:sp macro="" textlink="">
      <xdr:nvSpPr>
        <xdr:cNvPr id="35" name="Скругленный прямоугольник 34">
          <a:hlinkClick xmlns:r="http://schemas.openxmlformats.org/officeDocument/2006/relationships" r:id="rId4"/>
        </xdr:cNvPr>
        <xdr:cNvSpPr/>
      </xdr:nvSpPr>
      <xdr:spPr>
        <a:xfrm>
          <a:off x="8557324" y="4360831"/>
          <a:ext cx="2189751" cy="626225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300" b="1" kern="120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ДОСТАВКА</a:t>
          </a:r>
          <a:endParaRPr lang="en-US" sz="1300" b="1" kern="120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41</xdr:row>
      <xdr:rowOff>44928</xdr:rowOff>
    </xdr:from>
    <xdr:to>
      <xdr:col>18</xdr:col>
      <xdr:colOff>0</xdr:colOff>
      <xdr:row>45</xdr:row>
      <xdr:rowOff>152758</xdr:rowOff>
    </xdr:to>
    <xdr:sp macro="" textlink="">
      <xdr:nvSpPr>
        <xdr:cNvPr id="37" name="Прямоугольник 36"/>
        <xdr:cNvSpPr/>
      </xdr:nvSpPr>
      <xdr:spPr>
        <a:xfrm>
          <a:off x="0" y="6739386"/>
          <a:ext cx="10998679" cy="75481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КОНТАКТНАЯ ИНФОРМАЦИЯ </a:t>
          </a:r>
          <a:r>
            <a:rPr lang="ru-RU" sz="1200" b="1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ПОСТАВЩИКА</a:t>
          </a:r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 </a:t>
          </a:r>
          <a:endParaRPr lang="en-US" sz="1200" b="1" kern="1200">
            <a:solidFill>
              <a:schemeClr val="tx1">
                <a:lumMod val="65000"/>
                <a:lumOff val="35000"/>
              </a:schemeClr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twoCellAnchor>
    <xdr:from>
      <xdr:col>13</xdr:col>
      <xdr:colOff>602191</xdr:colOff>
      <xdr:row>19</xdr:row>
      <xdr:rowOff>8985</xdr:rowOff>
    </xdr:from>
    <xdr:to>
      <xdr:col>17</xdr:col>
      <xdr:colOff>368419</xdr:colOff>
      <xdr:row>24</xdr:row>
      <xdr:rowOff>17457</xdr:rowOff>
    </xdr:to>
    <xdr:sp macro="" textlink="">
      <xdr:nvSpPr>
        <xdr:cNvPr id="38" name="Скругленный прямоугольник 37">
          <a:hlinkClick xmlns:r="http://schemas.openxmlformats.org/officeDocument/2006/relationships" r:id="rId5"/>
        </xdr:cNvPr>
        <xdr:cNvSpPr/>
      </xdr:nvSpPr>
      <xdr:spPr>
        <a:xfrm>
          <a:off x="8545682" y="3145046"/>
          <a:ext cx="2210379" cy="81719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ru-RU" sz="1300" b="1">
              <a:solidFill>
                <a:schemeClr val="bg1"/>
              </a:solidFill>
              <a:latin typeface="+mn-lt"/>
              <a:cs typeface="Arial" pitchFamily="34" charset="0"/>
            </a:rPr>
            <a:t>КАЛЬКУЛЯТОР</a:t>
          </a:r>
          <a:r>
            <a:rPr lang="ru-RU" sz="1300" b="1" baseline="0">
              <a:solidFill>
                <a:schemeClr val="bg1"/>
              </a:solidFill>
              <a:latin typeface="+mn-lt"/>
              <a:cs typeface="Arial" pitchFamily="34" charset="0"/>
            </a:rPr>
            <a:t> </a:t>
          </a:r>
          <a:endParaRPr lang="en-US" sz="1300" b="1" baseline="0">
            <a:solidFill>
              <a:schemeClr val="bg1"/>
            </a:solidFill>
            <a:latin typeface="+mn-lt"/>
            <a:cs typeface="Arial" pitchFamily="34" charset="0"/>
          </a:endParaRPr>
        </a:p>
        <a:p>
          <a:pPr algn="ctr" fontAlgn="b"/>
          <a:r>
            <a:rPr lang="ru-RU" sz="1300" b="1" baseline="0">
              <a:solidFill>
                <a:schemeClr val="bg1"/>
              </a:solidFill>
              <a:latin typeface="+mn-lt"/>
              <a:cs typeface="Arial" pitchFamily="34" charset="0"/>
            </a:rPr>
            <a:t>ЗАКАЗА</a:t>
          </a:r>
          <a:endParaRPr lang="ru-RU" sz="13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oneCellAnchor>
    <xdr:from>
      <xdr:col>0</xdr:col>
      <xdr:colOff>198120</xdr:colOff>
      <xdr:row>43</xdr:row>
      <xdr:rowOff>83820</xdr:rowOff>
    </xdr:from>
    <xdr:ext cx="1773819" cy="264560"/>
    <xdr:sp macro="" textlink="">
      <xdr:nvSpPr>
        <xdr:cNvPr id="2" name="TextBox 1"/>
        <xdr:cNvSpPr txBox="1"/>
      </xdr:nvSpPr>
      <xdr:spPr>
        <a:xfrm>
          <a:off x="198120" y="7101768"/>
          <a:ext cx="17738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4</xdr:col>
      <xdr:colOff>313929</xdr:colOff>
      <xdr:row>43</xdr:row>
      <xdr:rowOff>83820</xdr:rowOff>
    </xdr:from>
    <xdr:ext cx="1827423" cy="264560"/>
    <xdr:sp macro="" textlink="">
      <xdr:nvSpPr>
        <xdr:cNvPr id="39" name="TextBox 38"/>
        <xdr:cNvSpPr txBox="1"/>
      </xdr:nvSpPr>
      <xdr:spPr>
        <a:xfrm>
          <a:off x="2758080" y="7101768"/>
          <a:ext cx="18274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Телефон: _______________</a:t>
          </a:r>
        </a:p>
      </xdr:txBody>
    </xdr:sp>
    <xdr:clientData fLocksWithSheet="0"/>
  </xdr:oneCellAnchor>
  <xdr:oneCellAnchor>
    <xdr:from>
      <xdr:col>9</xdr:col>
      <xdr:colOff>100282</xdr:colOff>
      <xdr:row>43</xdr:row>
      <xdr:rowOff>83820</xdr:rowOff>
    </xdr:from>
    <xdr:ext cx="1665521" cy="264560"/>
    <xdr:sp macro="" textlink="">
      <xdr:nvSpPr>
        <xdr:cNvPr id="40" name="TextBox 39"/>
        <xdr:cNvSpPr txBox="1"/>
      </xdr:nvSpPr>
      <xdr:spPr>
        <a:xfrm>
          <a:off x="5599622" y="7101768"/>
          <a:ext cx="16655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E-mail</a:t>
          </a:r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: _______________</a:t>
          </a:r>
        </a:p>
      </xdr:txBody>
    </xdr:sp>
    <xdr:clientData fLocksWithSheet="0"/>
  </xdr:oneCellAnchor>
  <xdr:oneCellAnchor>
    <xdr:from>
      <xdr:col>13</xdr:col>
      <xdr:colOff>485128</xdr:colOff>
      <xdr:row>43</xdr:row>
      <xdr:rowOff>83820</xdr:rowOff>
    </xdr:from>
    <xdr:ext cx="1672766" cy="264560"/>
    <xdr:sp macro="" textlink="">
      <xdr:nvSpPr>
        <xdr:cNvPr id="41" name="TextBox 40"/>
        <xdr:cNvSpPr txBox="1"/>
      </xdr:nvSpPr>
      <xdr:spPr>
        <a:xfrm>
          <a:off x="8428619" y="7101768"/>
          <a:ext cx="16727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Адрес: _______________</a:t>
          </a:r>
        </a:p>
      </xdr:txBody>
    </xdr:sp>
    <xdr:clientData fLocksWithSheet="0"/>
  </xdr:oneCellAnchor>
  <xdr:twoCellAnchor>
    <xdr:from>
      <xdr:col>0</xdr:col>
      <xdr:colOff>412140</xdr:colOff>
      <xdr:row>13</xdr:row>
      <xdr:rowOff>2</xdr:rowOff>
    </xdr:from>
    <xdr:to>
      <xdr:col>3</xdr:col>
      <xdr:colOff>212724</xdr:colOff>
      <xdr:row>21</xdr:row>
      <xdr:rowOff>53915</xdr:rowOff>
    </xdr:to>
    <xdr:grpSp>
      <xdr:nvGrpSpPr>
        <xdr:cNvPr id="15" name="Группа 14">
          <a:hlinkClick xmlns:r="http://schemas.openxmlformats.org/officeDocument/2006/relationships" r:id="rId6"/>
        </xdr:cNvPr>
        <xdr:cNvGrpSpPr/>
      </xdr:nvGrpSpPr>
      <xdr:grpSpPr>
        <a:xfrm>
          <a:off x="412140" y="2127252"/>
          <a:ext cx="1705584" cy="1323913"/>
          <a:chOff x="278341" y="2583777"/>
          <a:chExt cx="1765300" cy="1424131"/>
        </a:xfrm>
      </xdr:grpSpPr>
      <xdr:sp macro="" textlink="">
        <xdr:nvSpPr>
          <xdr:cNvPr id="72" name="TextBox 71">
            <a:hlinkClick xmlns:r="http://schemas.openxmlformats.org/officeDocument/2006/relationships" r:id="rId7"/>
          </xdr:cNvPr>
          <xdr:cNvSpPr txBox="1"/>
        </xdr:nvSpPr>
        <xdr:spPr bwMode="auto">
          <a:xfrm>
            <a:off x="278341" y="2583777"/>
            <a:ext cx="1765300" cy="142413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Бытовые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10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500" y="2963333"/>
            <a:ext cx="1439141" cy="85725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509043</xdr:colOff>
      <xdr:row>13</xdr:row>
      <xdr:rowOff>44928</xdr:rowOff>
    </xdr:from>
    <xdr:to>
      <xdr:col>6</xdr:col>
      <xdr:colOff>306917</xdr:colOff>
      <xdr:row>21</xdr:row>
      <xdr:rowOff>53916</xdr:rowOff>
    </xdr:to>
    <xdr:grpSp>
      <xdr:nvGrpSpPr>
        <xdr:cNvPr id="16" name="Группа 15">
          <a:hlinkClick xmlns:r="http://schemas.openxmlformats.org/officeDocument/2006/relationships" r:id="rId9"/>
        </xdr:cNvPr>
        <xdr:cNvGrpSpPr/>
      </xdr:nvGrpSpPr>
      <xdr:grpSpPr>
        <a:xfrm>
          <a:off x="2414043" y="2172178"/>
          <a:ext cx="1702874" cy="1278988"/>
          <a:chOff x="2214034" y="2627896"/>
          <a:chExt cx="1765300" cy="1378952"/>
        </a:xfrm>
      </xdr:grpSpPr>
      <xdr:sp macro="" textlink="">
        <xdr:nvSpPr>
          <xdr:cNvPr id="75" name="TextBox 74"/>
          <xdr:cNvSpPr txBox="1"/>
        </xdr:nvSpPr>
        <xdr:spPr bwMode="auto">
          <a:xfrm>
            <a:off x="2214034" y="2627896"/>
            <a:ext cx="1765300" cy="137895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Кассетные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100"/>
          </a:p>
        </xdr:txBody>
      </xdr:sp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6583" y="2889250"/>
            <a:ext cx="1566333" cy="957203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503207</xdr:colOff>
      <xdr:row>23</xdr:row>
      <xdr:rowOff>125802</xdr:rowOff>
    </xdr:from>
    <xdr:to>
      <xdr:col>6</xdr:col>
      <xdr:colOff>306915</xdr:colOff>
      <xdr:row>32</xdr:row>
      <xdr:rowOff>22917</xdr:rowOff>
    </xdr:to>
    <xdr:grpSp>
      <xdr:nvGrpSpPr>
        <xdr:cNvPr id="19" name="Группа 18">
          <a:hlinkClick xmlns:r="http://schemas.openxmlformats.org/officeDocument/2006/relationships" r:id="rId11"/>
        </xdr:cNvPr>
        <xdr:cNvGrpSpPr/>
      </xdr:nvGrpSpPr>
      <xdr:grpSpPr>
        <a:xfrm>
          <a:off x="2408207" y="3840552"/>
          <a:ext cx="1708708" cy="1325865"/>
          <a:chOff x="2181225" y="4706581"/>
          <a:chExt cx="1755775" cy="1419052"/>
        </a:xfrm>
      </xdr:grpSpPr>
      <xdr:sp macro="" textlink="">
        <xdr:nvSpPr>
          <xdr:cNvPr id="81" name="TextBox 80">
            <a:hlinkClick xmlns:r="http://schemas.openxmlformats.org/officeDocument/2006/relationships" r:id="rId12"/>
          </xdr:cNvPr>
          <xdr:cNvSpPr txBox="1"/>
        </xdr:nvSpPr>
        <xdr:spPr bwMode="auto">
          <a:xfrm>
            <a:off x="2181225" y="4706581"/>
            <a:ext cx="1755775" cy="141905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Универсальные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100"/>
          </a:p>
        </xdr:txBody>
      </xdr:sp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1918" y="5101167"/>
            <a:ext cx="1663082" cy="4550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430714</xdr:colOff>
      <xdr:row>23</xdr:row>
      <xdr:rowOff>80871</xdr:rowOff>
    </xdr:from>
    <xdr:to>
      <xdr:col>3</xdr:col>
      <xdr:colOff>203199</xdr:colOff>
      <xdr:row>31</xdr:row>
      <xdr:rowOff>134787</xdr:rowOff>
    </xdr:to>
    <xdr:grpSp>
      <xdr:nvGrpSpPr>
        <xdr:cNvPr id="18" name="Группа 17">
          <a:hlinkClick xmlns:r="http://schemas.openxmlformats.org/officeDocument/2006/relationships" r:id="rId14"/>
        </xdr:cNvPr>
        <xdr:cNvGrpSpPr/>
      </xdr:nvGrpSpPr>
      <xdr:grpSpPr>
        <a:xfrm>
          <a:off x="430714" y="3795621"/>
          <a:ext cx="1677485" cy="1323916"/>
          <a:chOff x="236008" y="4662047"/>
          <a:chExt cx="1755775" cy="1441361"/>
        </a:xfrm>
      </xdr:grpSpPr>
      <xdr:sp macro="" textlink="">
        <xdr:nvSpPr>
          <xdr:cNvPr id="78" name="TextBox 77"/>
          <xdr:cNvSpPr txBox="1"/>
        </xdr:nvSpPr>
        <xdr:spPr bwMode="auto">
          <a:xfrm>
            <a:off x="236008" y="4662047"/>
            <a:ext cx="1755775" cy="144136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Канальные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100"/>
          </a:p>
        </xdr:txBody>
      </xdr:sp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1084" y="4986583"/>
            <a:ext cx="1522166" cy="852809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179917</xdr:colOff>
      <xdr:row>12</xdr:row>
      <xdr:rowOff>63500</xdr:rowOff>
    </xdr:from>
    <xdr:to>
      <xdr:col>10</xdr:col>
      <xdr:colOff>127000</xdr:colOff>
      <xdr:row>22</xdr:row>
      <xdr:rowOff>84667</xdr:rowOff>
    </xdr:to>
    <xdr:grpSp>
      <xdr:nvGrpSpPr>
        <xdr:cNvPr id="20" name="Группа 19">
          <a:hlinkClick xmlns:r="http://schemas.openxmlformats.org/officeDocument/2006/relationships" r:id="rId16"/>
        </xdr:cNvPr>
        <xdr:cNvGrpSpPr/>
      </xdr:nvGrpSpPr>
      <xdr:grpSpPr>
        <a:xfrm>
          <a:off x="4624917" y="2032000"/>
          <a:ext cx="1852083" cy="1608667"/>
          <a:chOff x="4476750" y="2042583"/>
          <a:chExt cx="1788583" cy="1608667"/>
        </a:xfrm>
      </xdr:grpSpPr>
      <xdr:sp macro="" textlink="">
        <xdr:nvSpPr>
          <xdr:cNvPr id="64" name="TextBox 63"/>
          <xdr:cNvSpPr txBox="1"/>
        </xdr:nvSpPr>
        <xdr:spPr bwMode="auto">
          <a:xfrm>
            <a:off x="4476750" y="2042583"/>
            <a:ext cx="1788583" cy="160866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Big Multi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05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93168" y="2374333"/>
            <a:ext cx="980581" cy="123030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296333</xdr:colOff>
      <xdr:row>12</xdr:row>
      <xdr:rowOff>74085</xdr:rowOff>
    </xdr:from>
    <xdr:to>
      <xdr:col>13</xdr:col>
      <xdr:colOff>226482</xdr:colOff>
      <xdr:row>22</xdr:row>
      <xdr:rowOff>88901</xdr:rowOff>
    </xdr:to>
    <xdr:grpSp>
      <xdr:nvGrpSpPr>
        <xdr:cNvPr id="21" name="Группа 20">
          <a:hlinkClick xmlns:r="http://schemas.openxmlformats.org/officeDocument/2006/relationships" r:id="rId18"/>
        </xdr:cNvPr>
        <xdr:cNvGrpSpPr/>
      </xdr:nvGrpSpPr>
      <xdr:grpSpPr>
        <a:xfrm>
          <a:off x="6646333" y="2042585"/>
          <a:ext cx="1835149" cy="1602316"/>
          <a:chOff x="6434666" y="2053168"/>
          <a:chExt cx="1771649" cy="1602316"/>
        </a:xfrm>
      </xdr:grpSpPr>
      <xdr:sp macro="" textlink="">
        <xdr:nvSpPr>
          <xdr:cNvPr id="65" name="TextBox 64"/>
          <xdr:cNvSpPr txBox="1"/>
        </xdr:nvSpPr>
        <xdr:spPr bwMode="auto">
          <a:xfrm>
            <a:off x="6434666" y="2053168"/>
            <a:ext cx="1771649" cy="160231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Flexible Multi</a:t>
            </a:r>
            <a:endParaRPr lang="ru-RU" sz="1200">
              <a:solidFill>
                <a:schemeClr val="tx1">
                  <a:lumMod val="50000"/>
                  <a:lumOff val="50000"/>
                </a:schemeClr>
              </a:solidFill>
              <a:effectLst/>
            </a:endParaRPr>
          </a:p>
          <a:p>
            <a:endParaRPr lang="ru-RU" sz="110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25917" y="2407917"/>
            <a:ext cx="1253916" cy="1158923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174625</xdr:colOff>
      <xdr:row>23</xdr:row>
      <xdr:rowOff>156634</xdr:rowOff>
    </xdr:from>
    <xdr:to>
      <xdr:col>10</xdr:col>
      <xdr:colOff>121708</xdr:colOff>
      <xdr:row>40</xdr:row>
      <xdr:rowOff>74084</xdr:rowOff>
    </xdr:to>
    <xdr:grpSp>
      <xdr:nvGrpSpPr>
        <xdr:cNvPr id="26" name="Группа 25">
          <a:hlinkClick xmlns:r="http://schemas.openxmlformats.org/officeDocument/2006/relationships" r:id="rId20"/>
        </xdr:cNvPr>
        <xdr:cNvGrpSpPr/>
      </xdr:nvGrpSpPr>
      <xdr:grpSpPr>
        <a:xfrm>
          <a:off x="4619625" y="3871384"/>
          <a:ext cx="1852083" cy="2616200"/>
          <a:chOff x="4471458" y="3881967"/>
          <a:chExt cx="1788583" cy="2616200"/>
        </a:xfrm>
      </xdr:grpSpPr>
      <xdr:sp macro="" textlink="">
        <xdr:nvSpPr>
          <xdr:cNvPr id="67" name="TextBox 66">
            <a:hlinkClick xmlns:r="http://schemas.openxmlformats.org/officeDocument/2006/relationships" r:id="rId20"/>
          </xdr:cNvPr>
          <xdr:cNvSpPr txBox="1"/>
        </xdr:nvSpPr>
        <xdr:spPr bwMode="auto">
          <a:xfrm>
            <a:off x="4471458" y="3881967"/>
            <a:ext cx="1788583" cy="26162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 baseline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Мультизональные системы</a:t>
            </a:r>
            <a:endParaRPr lang="ru-RU" sz="110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09583" y="4455128"/>
            <a:ext cx="1219849" cy="1924899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312208</xdr:colOff>
      <xdr:row>24</xdr:row>
      <xdr:rowOff>8467</xdr:rowOff>
    </xdr:from>
    <xdr:to>
      <xdr:col>13</xdr:col>
      <xdr:colOff>259291</xdr:colOff>
      <xdr:row>40</xdr:row>
      <xdr:rowOff>84667</xdr:rowOff>
    </xdr:to>
    <xdr:grpSp>
      <xdr:nvGrpSpPr>
        <xdr:cNvPr id="27" name="Группа 26">
          <a:hlinkClick xmlns:r="http://schemas.openxmlformats.org/officeDocument/2006/relationships" r:id="rId22"/>
        </xdr:cNvPr>
        <xdr:cNvGrpSpPr/>
      </xdr:nvGrpSpPr>
      <xdr:grpSpPr>
        <a:xfrm>
          <a:off x="6662208" y="3881967"/>
          <a:ext cx="1852083" cy="2616200"/>
          <a:chOff x="6450541" y="3892550"/>
          <a:chExt cx="1788583" cy="2616200"/>
        </a:xfrm>
      </xdr:grpSpPr>
      <xdr:sp macro="" textlink="">
        <xdr:nvSpPr>
          <xdr:cNvPr id="68" name="TextBox 67">
            <a:hlinkClick xmlns:r="http://schemas.openxmlformats.org/officeDocument/2006/relationships" r:id="rId22"/>
          </xdr:cNvPr>
          <xdr:cNvSpPr txBox="1"/>
        </xdr:nvSpPr>
        <xdr:spPr bwMode="auto">
          <a:xfrm>
            <a:off x="6450541" y="3892550"/>
            <a:ext cx="1788583" cy="26162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Тепловые насосы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 b="0">
                <a:solidFill>
                  <a:schemeClr val="tx1">
                    <a:lumMod val="50000"/>
                    <a:lumOff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Waterstage</a:t>
            </a:r>
            <a:endParaRPr lang="ru-RU" sz="1050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4250" y="4411833"/>
            <a:ext cx="1040985" cy="19593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40441</xdr:colOff>
      <xdr:row>32</xdr:row>
      <xdr:rowOff>107831</xdr:rowOff>
    </xdr:from>
    <xdr:to>
      <xdr:col>6</xdr:col>
      <xdr:colOff>494222</xdr:colOff>
      <xdr:row>40</xdr:row>
      <xdr:rowOff>26958</xdr:rowOff>
    </xdr:to>
    <xdr:sp macro="" textlink="">
      <xdr:nvSpPr>
        <xdr:cNvPr id="29" name="Скругленный прямоугольник 28">
          <a:hlinkClick xmlns:r="http://schemas.openxmlformats.org/officeDocument/2006/relationships" r:id="rId24"/>
        </xdr:cNvPr>
        <xdr:cNvSpPr/>
      </xdr:nvSpPr>
      <xdr:spPr>
        <a:xfrm>
          <a:off x="40441" y="5346581"/>
          <a:ext cx="4120007" cy="1213089"/>
        </a:xfrm>
        <a:custGeom>
          <a:avLst/>
          <a:gdLst>
            <a:gd name="connsiteX0" fmla="*/ 0 w 4196392"/>
            <a:gd name="connsiteY0" fmla="*/ 202186 h 1213089"/>
            <a:gd name="connsiteX1" fmla="*/ 202186 w 4196392"/>
            <a:gd name="connsiteY1" fmla="*/ 0 h 1213089"/>
            <a:gd name="connsiteX2" fmla="*/ 3994206 w 4196392"/>
            <a:gd name="connsiteY2" fmla="*/ 0 h 1213089"/>
            <a:gd name="connsiteX3" fmla="*/ 4196392 w 4196392"/>
            <a:gd name="connsiteY3" fmla="*/ 202186 h 1213089"/>
            <a:gd name="connsiteX4" fmla="*/ 4196392 w 4196392"/>
            <a:gd name="connsiteY4" fmla="*/ 1010903 h 1213089"/>
            <a:gd name="connsiteX5" fmla="*/ 3994206 w 4196392"/>
            <a:gd name="connsiteY5" fmla="*/ 1213089 h 1213089"/>
            <a:gd name="connsiteX6" fmla="*/ 202186 w 4196392"/>
            <a:gd name="connsiteY6" fmla="*/ 1213089 h 1213089"/>
            <a:gd name="connsiteX7" fmla="*/ 0 w 4196392"/>
            <a:gd name="connsiteY7" fmla="*/ 1010903 h 1213089"/>
            <a:gd name="connsiteX8" fmla="*/ 0 w 4196392"/>
            <a:gd name="connsiteY8" fmla="*/ 202186 h 1213089"/>
            <a:gd name="connsiteX0" fmla="*/ 260590 w 4196392"/>
            <a:gd name="connsiteY0" fmla="*/ 390889 h 1213089"/>
            <a:gd name="connsiteX1" fmla="*/ 202186 w 4196392"/>
            <a:gd name="connsiteY1" fmla="*/ 0 h 1213089"/>
            <a:gd name="connsiteX2" fmla="*/ 3994206 w 4196392"/>
            <a:gd name="connsiteY2" fmla="*/ 0 h 1213089"/>
            <a:gd name="connsiteX3" fmla="*/ 4196392 w 4196392"/>
            <a:gd name="connsiteY3" fmla="*/ 202186 h 1213089"/>
            <a:gd name="connsiteX4" fmla="*/ 4196392 w 4196392"/>
            <a:gd name="connsiteY4" fmla="*/ 1010903 h 1213089"/>
            <a:gd name="connsiteX5" fmla="*/ 3994206 w 4196392"/>
            <a:gd name="connsiteY5" fmla="*/ 1213089 h 1213089"/>
            <a:gd name="connsiteX6" fmla="*/ 202186 w 4196392"/>
            <a:gd name="connsiteY6" fmla="*/ 1213089 h 1213089"/>
            <a:gd name="connsiteX7" fmla="*/ 0 w 4196392"/>
            <a:gd name="connsiteY7" fmla="*/ 1010903 h 1213089"/>
            <a:gd name="connsiteX8" fmla="*/ 260590 w 4196392"/>
            <a:gd name="connsiteY8" fmla="*/ 390889 h 1213089"/>
            <a:gd name="connsiteX0" fmla="*/ 157024 w 4353416"/>
            <a:gd name="connsiteY0" fmla="*/ 1010903 h 1213089"/>
            <a:gd name="connsiteX1" fmla="*/ 359210 w 4353416"/>
            <a:gd name="connsiteY1" fmla="*/ 0 h 1213089"/>
            <a:gd name="connsiteX2" fmla="*/ 4151230 w 4353416"/>
            <a:gd name="connsiteY2" fmla="*/ 0 h 1213089"/>
            <a:gd name="connsiteX3" fmla="*/ 4353416 w 4353416"/>
            <a:gd name="connsiteY3" fmla="*/ 202186 h 1213089"/>
            <a:gd name="connsiteX4" fmla="*/ 4353416 w 4353416"/>
            <a:gd name="connsiteY4" fmla="*/ 1010903 h 1213089"/>
            <a:gd name="connsiteX5" fmla="*/ 4151230 w 4353416"/>
            <a:gd name="connsiteY5" fmla="*/ 1213089 h 1213089"/>
            <a:gd name="connsiteX6" fmla="*/ 359210 w 4353416"/>
            <a:gd name="connsiteY6" fmla="*/ 1213089 h 1213089"/>
            <a:gd name="connsiteX7" fmla="*/ 157024 w 4353416"/>
            <a:gd name="connsiteY7" fmla="*/ 1010903 h 1213089"/>
            <a:gd name="connsiteX0" fmla="*/ 474002 w 4468208"/>
            <a:gd name="connsiteY0" fmla="*/ 1213089 h 1213089"/>
            <a:gd name="connsiteX1" fmla="*/ 474002 w 4468208"/>
            <a:gd name="connsiteY1" fmla="*/ 0 h 1213089"/>
            <a:gd name="connsiteX2" fmla="*/ 4266022 w 4468208"/>
            <a:gd name="connsiteY2" fmla="*/ 0 h 1213089"/>
            <a:gd name="connsiteX3" fmla="*/ 4468208 w 4468208"/>
            <a:gd name="connsiteY3" fmla="*/ 202186 h 1213089"/>
            <a:gd name="connsiteX4" fmla="*/ 4468208 w 4468208"/>
            <a:gd name="connsiteY4" fmla="*/ 1010903 h 1213089"/>
            <a:gd name="connsiteX5" fmla="*/ 4266022 w 4468208"/>
            <a:gd name="connsiteY5" fmla="*/ 1213089 h 1213089"/>
            <a:gd name="connsiteX6" fmla="*/ 474002 w 4468208"/>
            <a:gd name="connsiteY6" fmla="*/ 1213089 h 1213089"/>
            <a:gd name="connsiteX0" fmla="*/ 280891 w 4275097"/>
            <a:gd name="connsiteY0" fmla="*/ 1213089 h 1213089"/>
            <a:gd name="connsiteX1" fmla="*/ 280891 w 4275097"/>
            <a:gd name="connsiteY1" fmla="*/ 0 h 1213089"/>
            <a:gd name="connsiteX2" fmla="*/ 4072911 w 4275097"/>
            <a:gd name="connsiteY2" fmla="*/ 0 h 1213089"/>
            <a:gd name="connsiteX3" fmla="*/ 4275097 w 4275097"/>
            <a:gd name="connsiteY3" fmla="*/ 202186 h 1213089"/>
            <a:gd name="connsiteX4" fmla="*/ 4275097 w 4275097"/>
            <a:gd name="connsiteY4" fmla="*/ 1010903 h 1213089"/>
            <a:gd name="connsiteX5" fmla="*/ 4072911 w 4275097"/>
            <a:gd name="connsiteY5" fmla="*/ 1213089 h 1213089"/>
            <a:gd name="connsiteX6" fmla="*/ 280891 w 4275097"/>
            <a:gd name="connsiteY6" fmla="*/ 1213089 h 1213089"/>
            <a:gd name="connsiteX0" fmla="*/ 0 w 3994206"/>
            <a:gd name="connsiteY0" fmla="*/ 1213089 h 1213089"/>
            <a:gd name="connsiteX1" fmla="*/ 0 w 3994206"/>
            <a:gd name="connsiteY1" fmla="*/ 0 h 1213089"/>
            <a:gd name="connsiteX2" fmla="*/ 3792020 w 3994206"/>
            <a:gd name="connsiteY2" fmla="*/ 0 h 1213089"/>
            <a:gd name="connsiteX3" fmla="*/ 3994206 w 3994206"/>
            <a:gd name="connsiteY3" fmla="*/ 202186 h 1213089"/>
            <a:gd name="connsiteX4" fmla="*/ 3994206 w 3994206"/>
            <a:gd name="connsiteY4" fmla="*/ 1010903 h 1213089"/>
            <a:gd name="connsiteX5" fmla="*/ 3792020 w 3994206"/>
            <a:gd name="connsiteY5" fmla="*/ 1213089 h 1213089"/>
            <a:gd name="connsiteX6" fmla="*/ 0 w 3994206"/>
            <a:gd name="connsiteY6" fmla="*/ 1213089 h 1213089"/>
            <a:gd name="connsiteX0" fmla="*/ 0 w 4227838"/>
            <a:gd name="connsiteY0" fmla="*/ 1213089 h 1213089"/>
            <a:gd name="connsiteX1" fmla="*/ 233632 w 4227838"/>
            <a:gd name="connsiteY1" fmla="*/ 0 h 1213089"/>
            <a:gd name="connsiteX2" fmla="*/ 4025652 w 4227838"/>
            <a:gd name="connsiteY2" fmla="*/ 0 h 1213089"/>
            <a:gd name="connsiteX3" fmla="*/ 4227838 w 4227838"/>
            <a:gd name="connsiteY3" fmla="*/ 202186 h 1213089"/>
            <a:gd name="connsiteX4" fmla="*/ 4227838 w 4227838"/>
            <a:gd name="connsiteY4" fmla="*/ 1010903 h 1213089"/>
            <a:gd name="connsiteX5" fmla="*/ 4025652 w 4227838"/>
            <a:gd name="connsiteY5" fmla="*/ 1213089 h 1213089"/>
            <a:gd name="connsiteX6" fmla="*/ 0 w 4227838"/>
            <a:gd name="connsiteY6" fmla="*/ 1213089 h 1213089"/>
            <a:gd name="connsiteX0" fmla="*/ 26958 w 4254796"/>
            <a:gd name="connsiteY0" fmla="*/ 1213089 h 1213089"/>
            <a:gd name="connsiteX1" fmla="*/ 0 w 4254796"/>
            <a:gd name="connsiteY1" fmla="*/ 0 h 1213089"/>
            <a:gd name="connsiteX2" fmla="*/ 4052610 w 4254796"/>
            <a:gd name="connsiteY2" fmla="*/ 0 h 1213089"/>
            <a:gd name="connsiteX3" fmla="*/ 4254796 w 4254796"/>
            <a:gd name="connsiteY3" fmla="*/ 202186 h 1213089"/>
            <a:gd name="connsiteX4" fmla="*/ 4254796 w 4254796"/>
            <a:gd name="connsiteY4" fmla="*/ 1010903 h 1213089"/>
            <a:gd name="connsiteX5" fmla="*/ 4052610 w 4254796"/>
            <a:gd name="connsiteY5" fmla="*/ 1213089 h 1213089"/>
            <a:gd name="connsiteX6" fmla="*/ 26958 w 4254796"/>
            <a:gd name="connsiteY6" fmla="*/ 1213089 h 1213089"/>
            <a:gd name="connsiteX0" fmla="*/ 0 w 4524371"/>
            <a:gd name="connsiteY0" fmla="*/ 1213089 h 1213089"/>
            <a:gd name="connsiteX1" fmla="*/ 269575 w 4524371"/>
            <a:gd name="connsiteY1" fmla="*/ 0 h 1213089"/>
            <a:gd name="connsiteX2" fmla="*/ 4322185 w 4524371"/>
            <a:gd name="connsiteY2" fmla="*/ 0 h 1213089"/>
            <a:gd name="connsiteX3" fmla="*/ 4524371 w 4524371"/>
            <a:gd name="connsiteY3" fmla="*/ 202186 h 1213089"/>
            <a:gd name="connsiteX4" fmla="*/ 4524371 w 4524371"/>
            <a:gd name="connsiteY4" fmla="*/ 1010903 h 1213089"/>
            <a:gd name="connsiteX5" fmla="*/ 4322185 w 4524371"/>
            <a:gd name="connsiteY5" fmla="*/ 1213089 h 1213089"/>
            <a:gd name="connsiteX6" fmla="*/ 0 w 4524371"/>
            <a:gd name="connsiteY6" fmla="*/ 1213089 h 1213089"/>
            <a:gd name="connsiteX0" fmla="*/ 0 w 4524371"/>
            <a:gd name="connsiteY0" fmla="*/ 1213089 h 1213089"/>
            <a:gd name="connsiteX1" fmla="*/ 26957 w 4524371"/>
            <a:gd name="connsiteY1" fmla="*/ 8986 h 1213089"/>
            <a:gd name="connsiteX2" fmla="*/ 4322185 w 4524371"/>
            <a:gd name="connsiteY2" fmla="*/ 0 h 1213089"/>
            <a:gd name="connsiteX3" fmla="*/ 4524371 w 4524371"/>
            <a:gd name="connsiteY3" fmla="*/ 202186 h 1213089"/>
            <a:gd name="connsiteX4" fmla="*/ 4524371 w 4524371"/>
            <a:gd name="connsiteY4" fmla="*/ 1010903 h 1213089"/>
            <a:gd name="connsiteX5" fmla="*/ 4322185 w 4524371"/>
            <a:gd name="connsiteY5" fmla="*/ 1213089 h 1213089"/>
            <a:gd name="connsiteX6" fmla="*/ 0 w 4524371"/>
            <a:gd name="connsiteY6" fmla="*/ 1213089 h 1213089"/>
            <a:gd name="connsiteX0" fmla="*/ 35943 w 4497414"/>
            <a:gd name="connsiteY0" fmla="*/ 1204103 h 1213089"/>
            <a:gd name="connsiteX1" fmla="*/ 0 w 4497414"/>
            <a:gd name="connsiteY1" fmla="*/ 8986 h 1213089"/>
            <a:gd name="connsiteX2" fmla="*/ 4295228 w 4497414"/>
            <a:gd name="connsiteY2" fmla="*/ 0 h 1213089"/>
            <a:gd name="connsiteX3" fmla="*/ 4497414 w 4497414"/>
            <a:gd name="connsiteY3" fmla="*/ 202186 h 1213089"/>
            <a:gd name="connsiteX4" fmla="*/ 4497414 w 4497414"/>
            <a:gd name="connsiteY4" fmla="*/ 1010903 h 1213089"/>
            <a:gd name="connsiteX5" fmla="*/ 4295228 w 4497414"/>
            <a:gd name="connsiteY5" fmla="*/ 1213089 h 1213089"/>
            <a:gd name="connsiteX6" fmla="*/ 35943 w 4497414"/>
            <a:gd name="connsiteY6" fmla="*/ 1204103 h 1213089"/>
            <a:gd name="connsiteX0" fmla="*/ 0 w 4497414"/>
            <a:gd name="connsiteY0" fmla="*/ 1204103 h 1213089"/>
            <a:gd name="connsiteX1" fmla="*/ 0 w 4497414"/>
            <a:gd name="connsiteY1" fmla="*/ 8986 h 1213089"/>
            <a:gd name="connsiteX2" fmla="*/ 4295228 w 4497414"/>
            <a:gd name="connsiteY2" fmla="*/ 0 h 1213089"/>
            <a:gd name="connsiteX3" fmla="*/ 4497414 w 4497414"/>
            <a:gd name="connsiteY3" fmla="*/ 202186 h 1213089"/>
            <a:gd name="connsiteX4" fmla="*/ 4497414 w 4497414"/>
            <a:gd name="connsiteY4" fmla="*/ 1010903 h 1213089"/>
            <a:gd name="connsiteX5" fmla="*/ 4295228 w 4497414"/>
            <a:gd name="connsiteY5" fmla="*/ 1213089 h 1213089"/>
            <a:gd name="connsiteX6" fmla="*/ 0 w 4497414"/>
            <a:gd name="connsiteY6" fmla="*/ 1204103 h 1213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497414" h="1213089">
              <a:moveTo>
                <a:pt x="0" y="1204103"/>
              </a:moveTo>
              <a:lnTo>
                <a:pt x="0" y="8986"/>
              </a:lnTo>
              <a:lnTo>
                <a:pt x="4295228" y="0"/>
              </a:lnTo>
              <a:cubicBezTo>
                <a:pt x="4406892" y="0"/>
                <a:pt x="4497414" y="90522"/>
                <a:pt x="4497414" y="202186"/>
              </a:cubicBezTo>
              <a:lnTo>
                <a:pt x="4497414" y="1010903"/>
              </a:lnTo>
              <a:cubicBezTo>
                <a:pt x="4497414" y="1122567"/>
                <a:pt x="4406892" y="1213089"/>
                <a:pt x="4295228" y="1213089"/>
              </a:cubicBezTo>
              <a:lnTo>
                <a:pt x="0" y="1204103"/>
              </a:lnTo>
              <a:close/>
            </a:path>
          </a:pathLst>
        </a:cu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159917</xdr:colOff>
      <xdr:row>0</xdr:row>
      <xdr:rowOff>31749</xdr:rowOff>
    </xdr:from>
    <xdr:to>
      <xdr:col>17</xdr:col>
      <xdr:colOff>190944</xdr:colOff>
      <xdr:row>8</xdr:row>
      <xdr:rowOff>107830</xdr:rowOff>
    </xdr:to>
    <xdr:pic>
      <xdr:nvPicPr>
        <xdr:cNvPr id="24" name="Рисунок 2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483" y="31749"/>
          <a:ext cx="1253103" cy="1370043"/>
        </a:xfrm>
        <a:prstGeom prst="rect">
          <a:avLst/>
        </a:prstGeom>
      </xdr:spPr>
    </xdr:pic>
    <xdr:clientData/>
  </xdr:twoCellAnchor>
  <xdr:twoCellAnchor>
    <xdr:from>
      <xdr:col>0</xdr:col>
      <xdr:colOff>458278</xdr:colOff>
      <xdr:row>33</xdr:row>
      <xdr:rowOff>123825</xdr:rowOff>
    </xdr:from>
    <xdr:to>
      <xdr:col>6</xdr:col>
      <xdr:colOff>292100</xdr:colOff>
      <xdr:row>39</xdr:row>
      <xdr:rowOff>123825</xdr:rowOff>
    </xdr:to>
    <xdr:sp macro="" textlink="">
      <xdr:nvSpPr>
        <xdr:cNvPr id="46" name="TextBox 45">
          <a:hlinkClick xmlns:r="http://schemas.openxmlformats.org/officeDocument/2006/relationships" r:id="rId24"/>
        </xdr:cNvPr>
        <xdr:cNvSpPr txBox="1"/>
      </xdr:nvSpPr>
      <xdr:spPr bwMode="auto">
        <a:xfrm>
          <a:off x="458278" y="5524320"/>
          <a:ext cx="3500048" cy="970472"/>
        </a:xfrm>
        <a:prstGeom prst="rect">
          <a:avLst/>
        </a:prstGeom>
        <a:solidFill>
          <a:srgbClr val="E30017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 eaLnBrk="1" fontAlgn="b" latinLnBrk="0" hangingPunct="1"/>
          <a:r>
            <a:rPr lang="ru-RU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 ДОРАБОТКОЙ </a:t>
          </a:r>
          <a:endParaRPr lang="ru-RU" sz="1400" b="1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НИЗКОТЕМПЕРАТУРНЫМ </a:t>
          </a:r>
          <a:endParaRPr lang="ru-RU" sz="1400" b="1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КОМПЛЕКТОМ</a:t>
          </a:r>
          <a:endParaRPr lang="ru-RU" sz="1400" b="1">
            <a:solidFill>
              <a:schemeClr val="bg1"/>
            </a:solidFill>
            <a:effectLst/>
          </a:endParaRPr>
        </a:p>
        <a:p>
          <a:endParaRPr lang="ru-RU" sz="11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12</xdr:col>
      <xdr:colOff>141017</xdr:colOff>
      <xdr:row>3</xdr:row>
      <xdr:rowOff>3609</xdr:rowOff>
    </xdr:from>
    <xdr:to>
      <xdr:col>14</xdr:col>
      <xdr:colOff>603889</xdr:colOff>
      <xdr:row>6</xdr:row>
      <xdr:rowOff>49031</xdr:rowOff>
    </xdr:to>
    <xdr:sp macro="" textlink="">
      <xdr:nvSpPr>
        <xdr:cNvPr id="47" name="Прямоугольник 46"/>
        <xdr:cNvSpPr/>
      </xdr:nvSpPr>
      <xdr:spPr>
        <a:xfrm>
          <a:off x="7473470" y="488845"/>
          <a:ext cx="1684947" cy="53065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800" b="1">
              <a:solidFill>
                <a:schemeClr val="bg1">
                  <a:lumMod val="75000"/>
                </a:schemeClr>
              </a:solidFill>
              <a:latin typeface="+mn-lt"/>
              <a:cs typeface="Arial" pitchFamily="34" charset="0"/>
            </a:rPr>
            <a:t>2020</a:t>
          </a:r>
        </a:p>
      </xdr:txBody>
    </xdr:sp>
    <xdr:clientData/>
  </xdr:twoCellAnchor>
  <xdr:twoCellAnchor>
    <xdr:from>
      <xdr:col>5</xdr:col>
      <xdr:colOff>386190</xdr:colOff>
      <xdr:row>2</xdr:row>
      <xdr:rowOff>111621</xdr:rowOff>
    </xdr:from>
    <xdr:to>
      <xdr:col>5</xdr:col>
      <xdr:colOff>431909</xdr:colOff>
      <xdr:row>5</xdr:row>
      <xdr:rowOff>7441</xdr:rowOff>
    </xdr:to>
    <xdr:sp macro="" textlink="">
      <xdr:nvSpPr>
        <xdr:cNvPr id="22" name="Прямоугольник 21"/>
        <xdr:cNvSpPr/>
      </xdr:nvSpPr>
      <xdr:spPr>
        <a:xfrm>
          <a:off x="3441379" y="435112"/>
          <a:ext cx="45719" cy="381055"/>
        </a:xfrm>
        <a:prstGeom prst="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404538</xdr:colOff>
      <xdr:row>36</xdr:row>
      <xdr:rowOff>78669</xdr:rowOff>
    </xdr:from>
    <xdr:to>
      <xdr:col>17</xdr:col>
      <xdr:colOff>386391</xdr:colOff>
      <xdr:row>39</xdr:row>
      <xdr:rowOff>61510</xdr:rowOff>
    </xdr:to>
    <xdr:sp macro="" textlink="">
      <xdr:nvSpPr>
        <xdr:cNvPr id="48" name="Прямоугольник 47"/>
        <xdr:cNvSpPr/>
      </xdr:nvSpPr>
      <xdr:spPr>
        <a:xfrm>
          <a:off x="8959066" y="5964400"/>
          <a:ext cx="1814967" cy="468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Действителен </a:t>
          </a:r>
          <a:b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</a:br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с</a:t>
          </a:r>
          <a:r>
            <a:rPr lang="en-US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1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апреля</a:t>
          </a:r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2020 года</a:t>
          </a:r>
        </a:p>
      </xdr:txBody>
    </xdr:sp>
    <xdr:clientData/>
  </xdr:twoCellAnchor>
  <xdr:twoCellAnchor editAs="oneCell">
    <xdr:from>
      <xdr:col>4</xdr:col>
      <xdr:colOff>485237</xdr:colOff>
      <xdr:row>34</xdr:row>
      <xdr:rowOff>139460</xdr:rowOff>
    </xdr:from>
    <xdr:to>
      <xdr:col>5</xdr:col>
      <xdr:colOff>350448</xdr:colOff>
      <xdr:row>37</xdr:row>
      <xdr:rowOff>130474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388" y="5701701"/>
          <a:ext cx="476249" cy="4762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262619</xdr:rowOff>
    </xdr:from>
    <xdr:to>
      <xdr:col>1</xdr:col>
      <xdr:colOff>1428751</xdr:colOff>
      <xdr:row>1</xdr:row>
      <xdr:rowOff>88996</xdr:rowOff>
    </xdr:to>
    <xdr:pic>
      <xdr:nvPicPr>
        <xdr:cNvPr id="35152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6" y="262619"/>
          <a:ext cx="2853418" cy="506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60022</xdr:colOff>
      <xdr:row>0</xdr:row>
      <xdr:rowOff>272142</xdr:rowOff>
    </xdr:from>
    <xdr:to>
      <xdr:col>18</xdr:col>
      <xdr:colOff>367393</xdr:colOff>
      <xdr:row>1</xdr:row>
      <xdr:rowOff>272142</xdr:rowOff>
    </xdr:to>
    <xdr:sp macro="" textlink="">
      <xdr:nvSpPr>
        <xdr:cNvPr id="8" name="TextBox 7">
          <a:hlinkClick xmlns:r="http://schemas.openxmlformats.org/officeDocument/2006/relationships" r:id="rId3"/>
        </xdr:cNvPr>
        <xdr:cNvSpPr txBox="1"/>
      </xdr:nvSpPr>
      <xdr:spPr>
        <a:xfrm>
          <a:off x="14007343" y="272142"/>
          <a:ext cx="1532014" cy="680357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16</xdr:col>
      <xdr:colOff>43296</xdr:colOff>
      <xdr:row>3</xdr:row>
      <xdr:rowOff>68036</xdr:rowOff>
    </xdr:from>
    <xdr:to>
      <xdr:col>20</xdr:col>
      <xdr:colOff>462642</xdr:colOff>
      <xdr:row>6</xdr:row>
      <xdr:rowOff>0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13990617" y="1265465"/>
          <a:ext cx="2868632" cy="111643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1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Мультизональные системы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4</xdr:col>
      <xdr:colOff>253244</xdr:colOff>
      <xdr:row>10</xdr:row>
      <xdr:rowOff>176136</xdr:rowOff>
    </xdr:from>
    <xdr:to>
      <xdr:col>4</xdr:col>
      <xdr:colOff>759279</xdr:colOff>
      <xdr:row>12</xdr:row>
      <xdr:rowOff>50132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32073" y="3409193"/>
          <a:ext cx="506035" cy="472710"/>
        </a:xfrm>
        <a:prstGeom prst="rect">
          <a:avLst/>
        </a:prstGeom>
      </xdr:spPr>
    </xdr:pic>
    <xdr:clientData/>
  </xdr:twoCellAnchor>
  <xdr:oneCellAnchor>
    <xdr:from>
      <xdr:col>4</xdr:col>
      <xdr:colOff>233439</xdr:colOff>
      <xdr:row>23</xdr:row>
      <xdr:rowOff>184575</xdr:rowOff>
    </xdr:from>
    <xdr:ext cx="484612" cy="463302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12268" y="6824861"/>
          <a:ext cx="484612" cy="463302"/>
        </a:xfrm>
        <a:prstGeom prst="rect">
          <a:avLst/>
        </a:prstGeom>
      </xdr:spPr>
    </xdr:pic>
    <xdr:clientData/>
  </xdr:oneCellAnchor>
  <xdr:twoCellAnchor>
    <xdr:from>
      <xdr:col>10</xdr:col>
      <xdr:colOff>421821</xdr:colOff>
      <xdr:row>0</xdr:row>
      <xdr:rowOff>530678</xdr:rowOff>
    </xdr:from>
    <xdr:to>
      <xdr:col>13</xdr:col>
      <xdr:colOff>510268</xdr:colOff>
      <xdr:row>1</xdr:row>
      <xdr:rowOff>120324</xdr:rowOff>
    </xdr:to>
    <xdr:sp macro="" textlink="">
      <xdr:nvSpPr>
        <xdr:cNvPr id="10" name="Прямоугольник 9"/>
        <xdr:cNvSpPr/>
      </xdr:nvSpPr>
      <xdr:spPr>
        <a:xfrm>
          <a:off x="10382250" y="530678"/>
          <a:ext cx="28860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oneCellAnchor>
    <xdr:from>
      <xdr:col>4</xdr:col>
      <xdr:colOff>222554</xdr:colOff>
      <xdr:row>39</xdr:row>
      <xdr:rowOff>141033</xdr:rowOff>
    </xdr:from>
    <xdr:ext cx="484612" cy="46330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1383" y="10656633"/>
          <a:ext cx="484612" cy="463302"/>
        </a:xfrm>
        <a:prstGeom prst="rect">
          <a:avLst/>
        </a:prstGeom>
      </xdr:spPr>
    </xdr:pic>
    <xdr:clientData/>
  </xdr:oneCellAnchor>
  <xdr:oneCellAnchor>
    <xdr:from>
      <xdr:col>4</xdr:col>
      <xdr:colOff>233440</xdr:colOff>
      <xdr:row>54</xdr:row>
      <xdr:rowOff>119262</xdr:rowOff>
    </xdr:from>
    <xdr:ext cx="484612" cy="46330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12269" y="14433976"/>
          <a:ext cx="484612" cy="463302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411</xdr:row>
      <xdr:rowOff>65314</xdr:rowOff>
    </xdr:from>
    <xdr:to>
      <xdr:col>10</xdr:col>
      <xdr:colOff>825953</xdr:colOff>
      <xdr:row>416</xdr:row>
      <xdr:rowOff>137003</xdr:rowOff>
    </xdr:to>
    <xdr:sp macro="" textlink="">
      <xdr:nvSpPr>
        <xdr:cNvPr id="14" name="TextBox 13"/>
        <xdr:cNvSpPr txBox="1"/>
      </xdr:nvSpPr>
      <xdr:spPr>
        <a:xfrm>
          <a:off x="0" y="115323257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235403</xdr:rowOff>
    </xdr:from>
    <xdr:to>
      <xdr:col>1</xdr:col>
      <xdr:colOff>1129393</xdr:colOff>
      <xdr:row>1</xdr:row>
      <xdr:rowOff>73973</xdr:rowOff>
    </xdr:to>
    <xdr:pic>
      <xdr:nvPicPr>
        <xdr:cNvPr id="352452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235403"/>
          <a:ext cx="2839811" cy="518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403110</xdr:colOff>
      <xdr:row>0</xdr:row>
      <xdr:rowOff>176892</xdr:rowOff>
    </xdr:from>
    <xdr:to>
      <xdr:col>16</xdr:col>
      <xdr:colOff>510267</xdr:colOff>
      <xdr:row>1</xdr:row>
      <xdr:rowOff>204106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12840039" y="176892"/>
          <a:ext cx="1331799" cy="70757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14</xdr:col>
      <xdr:colOff>419100</xdr:colOff>
      <xdr:row>3</xdr:row>
      <xdr:rowOff>54429</xdr:rowOff>
    </xdr:from>
    <xdr:to>
      <xdr:col>18</xdr:col>
      <xdr:colOff>136072</xdr:colOff>
      <xdr:row>7</xdr:row>
      <xdr:rowOff>118414</xdr:rowOff>
    </xdr:to>
    <xdr:sp macro="" textlink="">
      <xdr:nvSpPr>
        <xdr:cNvPr id="7" name="TextBox 6">
          <a:hlinkClick xmlns:r="http://schemas.openxmlformats.org/officeDocument/2006/relationships" r:id="rId4"/>
        </xdr:cNvPr>
        <xdr:cNvSpPr txBox="1"/>
      </xdr:nvSpPr>
      <xdr:spPr>
        <a:xfrm>
          <a:off x="12856029" y="1183822"/>
          <a:ext cx="2547257" cy="98927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1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Тепловые</a:t>
          </a:r>
          <a:r>
            <a:rPr lang="ru-RU" sz="1200" b="1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насосы 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9</xdr:col>
      <xdr:colOff>421822</xdr:colOff>
      <xdr:row>0</xdr:row>
      <xdr:rowOff>476249</xdr:rowOff>
    </xdr:from>
    <xdr:to>
      <xdr:col>13</xdr:col>
      <xdr:colOff>6804</xdr:colOff>
      <xdr:row>1</xdr:row>
      <xdr:rowOff>65895</xdr:rowOff>
    </xdr:to>
    <xdr:sp macro="" textlink="">
      <xdr:nvSpPr>
        <xdr:cNvPr id="6" name="Прямоугольник 5"/>
        <xdr:cNvSpPr/>
      </xdr:nvSpPr>
      <xdr:spPr>
        <a:xfrm>
          <a:off x="9282793" y="476249"/>
          <a:ext cx="290512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twoCellAnchor>
    <xdr:from>
      <xdr:col>0</xdr:col>
      <xdr:colOff>54430</xdr:colOff>
      <xdr:row>98</xdr:row>
      <xdr:rowOff>43543</xdr:rowOff>
    </xdr:from>
    <xdr:to>
      <xdr:col>9</xdr:col>
      <xdr:colOff>195943</xdr:colOff>
      <xdr:row>103</xdr:row>
      <xdr:rowOff>115232</xdr:rowOff>
    </xdr:to>
    <xdr:sp macro="" textlink="">
      <xdr:nvSpPr>
        <xdr:cNvPr id="8" name="TextBox 7"/>
        <xdr:cNvSpPr txBox="1"/>
      </xdr:nvSpPr>
      <xdr:spPr>
        <a:xfrm>
          <a:off x="54430" y="22805572"/>
          <a:ext cx="9002484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180975</xdr:rowOff>
    </xdr:from>
    <xdr:to>
      <xdr:col>0</xdr:col>
      <xdr:colOff>2228850</xdr:colOff>
      <xdr:row>0</xdr:row>
      <xdr:rowOff>555802</xdr:rowOff>
    </xdr:to>
    <xdr:pic>
      <xdr:nvPicPr>
        <xdr:cNvPr id="278243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180975"/>
          <a:ext cx="2028825" cy="374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264318</xdr:colOff>
      <xdr:row>0</xdr:row>
      <xdr:rowOff>104774</xdr:rowOff>
    </xdr:from>
    <xdr:to>
      <xdr:col>8</xdr:col>
      <xdr:colOff>66676</xdr:colOff>
      <xdr:row>0</xdr:row>
      <xdr:rowOff>590549</xdr:rowOff>
    </xdr:to>
    <xdr:sp macro="" textlink="">
      <xdr:nvSpPr>
        <xdr:cNvPr id="6" name="TextBox 5">
          <a:hlinkClick xmlns:r="http://schemas.openxmlformats.org/officeDocument/2006/relationships" r:id="rId3"/>
        </xdr:cNvPr>
        <xdr:cNvSpPr txBox="1"/>
      </xdr:nvSpPr>
      <xdr:spPr>
        <a:xfrm>
          <a:off x="7541418" y="104774"/>
          <a:ext cx="1631158" cy="485775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3</xdr:col>
      <xdr:colOff>1394464</xdr:colOff>
      <xdr:row>0</xdr:row>
      <xdr:rowOff>1</xdr:rowOff>
    </xdr:from>
    <xdr:to>
      <xdr:col>4</xdr:col>
      <xdr:colOff>57150</xdr:colOff>
      <xdr:row>0</xdr:row>
      <xdr:rowOff>631329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7514" y="1"/>
          <a:ext cx="586736" cy="631328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0</xdr:row>
      <xdr:rowOff>123824</xdr:rowOff>
    </xdr:from>
    <xdr:to>
      <xdr:col>3</xdr:col>
      <xdr:colOff>1281722</xdr:colOff>
      <xdr:row>0</xdr:row>
      <xdr:rowOff>323735</xdr:rowOff>
    </xdr:to>
    <xdr:sp macro="" textlink="">
      <xdr:nvSpPr>
        <xdr:cNvPr id="5" name="Прямоугольник 4"/>
        <xdr:cNvSpPr/>
      </xdr:nvSpPr>
      <xdr:spPr>
        <a:xfrm>
          <a:off x="4949825" y="123824"/>
          <a:ext cx="1684947" cy="19991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1600" b="1">
              <a:solidFill>
                <a:schemeClr val="bg1"/>
              </a:solidFill>
              <a:latin typeface="+mn-lt"/>
              <a:cs typeface="Arial" pitchFamily="34" charset="0"/>
            </a:rPr>
            <a:t> </a:t>
          </a:r>
          <a:endParaRPr lang="en-US" sz="16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514350</xdr:colOff>
      <xdr:row>0</xdr:row>
      <xdr:rowOff>323850</xdr:rowOff>
    </xdr:from>
    <xdr:to>
      <xdr:col>3</xdr:col>
      <xdr:colOff>1275372</xdr:colOff>
      <xdr:row>0</xdr:row>
      <xdr:rowOff>556594</xdr:rowOff>
    </xdr:to>
    <xdr:sp macro="" textlink="">
      <xdr:nvSpPr>
        <xdr:cNvPr id="7" name="Прямоугольник 6"/>
        <xdr:cNvSpPr/>
      </xdr:nvSpPr>
      <xdr:spPr>
        <a:xfrm>
          <a:off x="5867400" y="323850"/>
          <a:ext cx="761022" cy="232744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000" b="1">
              <a:solidFill>
                <a:schemeClr val="bg1"/>
              </a:solidFill>
              <a:latin typeface="+mn-lt"/>
              <a:cs typeface="Arial" pitchFamily="34" charset="0"/>
            </a:rPr>
            <a:t>2020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180975</xdr:rowOff>
    </xdr:from>
    <xdr:to>
      <xdr:col>0</xdr:col>
      <xdr:colOff>2076450</xdr:colOff>
      <xdr:row>0</xdr:row>
      <xdr:rowOff>546998</xdr:rowOff>
    </xdr:to>
    <xdr:pic>
      <xdr:nvPicPr>
        <xdr:cNvPr id="355524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180975"/>
          <a:ext cx="1895475" cy="366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</xdr:row>
      <xdr:rowOff>66675</xdr:rowOff>
    </xdr:from>
    <xdr:to>
      <xdr:col>0</xdr:col>
      <xdr:colOff>1476375</xdr:colOff>
      <xdr:row>7</xdr:row>
      <xdr:rowOff>923925</xdr:rowOff>
    </xdr:to>
    <xdr:pic>
      <xdr:nvPicPr>
        <xdr:cNvPr id="355525" name="Рисунок 3" descr="http://img02.darudar.org/s600/00/00/75/dd/75ddc87dc13a2cce8ee1706ae6ed22ae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2733675"/>
          <a:ext cx="971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9</xdr:row>
      <xdr:rowOff>333374</xdr:rowOff>
    </xdr:from>
    <xdr:to>
      <xdr:col>0</xdr:col>
      <xdr:colOff>2204697</xdr:colOff>
      <xdr:row>9</xdr:row>
      <xdr:rowOff>819149</xdr:rowOff>
    </xdr:to>
    <xdr:pic>
      <xdr:nvPicPr>
        <xdr:cNvPr id="355526" name="Рисунок 4" descr="http://www.magic-trans.ru/bitrix/templates/.default/img/logo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5219699"/>
          <a:ext cx="199514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200025</xdr:rowOff>
    </xdr:from>
    <xdr:to>
      <xdr:col>0</xdr:col>
      <xdr:colOff>2543175</xdr:colOff>
      <xdr:row>11</xdr:row>
      <xdr:rowOff>692324</xdr:rowOff>
    </xdr:to>
    <xdr:pic>
      <xdr:nvPicPr>
        <xdr:cNvPr id="6" name="Рисунок 2" descr="ГлавДоставка - С Любовью!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77175"/>
          <a:ext cx="2333625" cy="49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492764</xdr:colOff>
      <xdr:row>0</xdr:row>
      <xdr:rowOff>0</xdr:rowOff>
    </xdr:from>
    <xdr:to>
      <xdr:col>3</xdr:col>
      <xdr:colOff>1079500</xdr:colOff>
      <xdr:row>0</xdr:row>
      <xdr:rowOff>631328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864" y="0"/>
          <a:ext cx="586736" cy="631328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0</xdr:row>
      <xdr:rowOff>123823</xdr:rowOff>
    </xdr:from>
    <xdr:to>
      <xdr:col>3</xdr:col>
      <xdr:colOff>380022</xdr:colOff>
      <xdr:row>0</xdr:row>
      <xdr:rowOff>323734</xdr:rowOff>
    </xdr:to>
    <xdr:sp macro="" textlink="">
      <xdr:nvSpPr>
        <xdr:cNvPr id="11" name="Прямоугольник 10"/>
        <xdr:cNvSpPr/>
      </xdr:nvSpPr>
      <xdr:spPr>
        <a:xfrm>
          <a:off x="3305175" y="123823"/>
          <a:ext cx="1684947" cy="19991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1600" b="1">
              <a:solidFill>
                <a:schemeClr val="bg1"/>
              </a:solidFill>
              <a:latin typeface="+mn-lt"/>
              <a:cs typeface="Arial" pitchFamily="34" charset="0"/>
            </a:rPr>
            <a:t> </a:t>
          </a:r>
          <a:endParaRPr lang="en-US" sz="16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222250</xdr:colOff>
      <xdr:row>0</xdr:row>
      <xdr:rowOff>323849</xdr:rowOff>
    </xdr:from>
    <xdr:to>
      <xdr:col>3</xdr:col>
      <xdr:colOff>373672</xdr:colOff>
      <xdr:row>0</xdr:row>
      <xdr:rowOff>556593</xdr:rowOff>
    </xdr:to>
    <xdr:sp macro="" textlink="">
      <xdr:nvSpPr>
        <xdr:cNvPr id="12" name="Прямоугольник 11"/>
        <xdr:cNvSpPr/>
      </xdr:nvSpPr>
      <xdr:spPr>
        <a:xfrm>
          <a:off x="4222750" y="323849"/>
          <a:ext cx="761022" cy="232744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000" b="1">
              <a:solidFill>
                <a:schemeClr val="bg1"/>
              </a:solidFill>
              <a:latin typeface="+mn-lt"/>
              <a:cs typeface="Arial" pitchFamily="34" charset="0"/>
            </a:rPr>
            <a:t>2020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318811</xdr:colOff>
      <xdr:row>1</xdr:row>
      <xdr:rowOff>9525</xdr:rowOff>
    </xdr:from>
    <xdr:to>
      <xdr:col>8</xdr:col>
      <xdr:colOff>19050</xdr:colOff>
      <xdr:row>4</xdr:row>
      <xdr:rowOff>19053</xdr:rowOff>
    </xdr:to>
    <xdr:sp macro="" textlink="">
      <xdr:nvSpPr>
        <xdr:cNvPr id="6" name="Скругленный прямоугольник 5">
          <a:hlinkClick xmlns:r="http://schemas.openxmlformats.org/officeDocument/2006/relationships" r:id="rId1"/>
        </xdr:cNvPr>
        <xdr:cNvSpPr/>
      </xdr:nvSpPr>
      <xdr:spPr>
        <a:xfrm rot="5400000">
          <a:off x="9370079" y="-345418"/>
          <a:ext cx="495303" cy="152903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ru-RU" sz="1100" b="1" i="0" strike="noStrike">
              <a:solidFill>
                <a:schemeClr val="bg1"/>
              </a:solidFill>
              <a:effectLst/>
              <a:latin typeface="+mn-lt"/>
              <a:cs typeface="Arial" pitchFamily="34" charset="0"/>
            </a:rPr>
            <a:t>Возврат в меню</a:t>
          </a:r>
        </a:p>
      </xdr:txBody>
    </xdr:sp>
    <xdr:clientData/>
  </xdr:twoCellAnchor>
  <xdr:twoCellAnchor editAs="oneCell">
    <xdr:from>
      <xdr:col>0</xdr:col>
      <xdr:colOff>209550</xdr:colOff>
      <xdr:row>1</xdr:row>
      <xdr:rowOff>1</xdr:rowOff>
    </xdr:from>
    <xdr:to>
      <xdr:col>0</xdr:col>
      <xdr:colOff>2533650</xdr:colOff>
      <xdr:row>3</xdr:row>
      <xdr:rowOff>78791</xdr:rowOff>
    </xdr:to>
    <xdr:pic>
      <xdr:nvPicPr>
        <xdr:cNvPr id="34533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-662"/>
        <a:stretch>
          <a:fillRect/>
        </a:stretch>
      </xdr:blipFill>
      <xdr:spPr bwMode="auto">
        <a:xfrm>
          <a:off x="209550" y="161926"/>
          <a:ext cx="2324100" cy="402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0</xdr:row>
      <xdr:rowOff>47625</xdr:rowOff>
    </xdr:from>
    <xdr:to>
      <xdr:col>4</xdr:col>
      <xdr:colOff>1038097</xdr:colOff>
      <xdr:row>5</xdr:row>
      <xdr:rowOff>262753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47625"/>
          <a:ext cx="952372" cy="1024753"/>
        </a:xfrm>
        <a:prstGeom prst="rect">
          <a:avLst/>
        </a:prstGeom>
      </xdr:spPr>
    </xdr:pic>
    <xdr:clientData/>
  </xdr:twoCellAnchor>
  <xdr:twoCellAnchor>
    <xdr:from>
      <xdr:col>0</xdr:col>
      <xdr:colOff>3238456</xdr:colOff>
      <xdr:row>0</xdr:row>
      <xdr:rowOff>75320</xdr:rowOff>
    </xdr:from>
    <xdr:to>
      <xdr:col>2</xdr:col>
      <xdr:colOff>454965</xdr:colOff>
      <xdr:row>4</xdr:row>
      <xdr:rowOff>29844</xdr:rowOff>
    </xdr:to>
    <xdr:sp macro="" textlink="">
      <xdr:nvSpPr>
        <xdr:cNvPr id="9" name="Прямоугольник 8"/>
        <xdr:cNvSpPr/>
      </xdr:nvSpPr>
      <xdr:spPr>
        <a:xfrm>
          <a:off x="3238456" y="75320"/>
          <a:ext cx="2312384" cy="60222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600" b="0">
              <a:latin typeface="+mn-lt"/>
              <a:ea typeface="Verdana" pitchFamily="34" charset="0"/>
              <a:cs typeface="Arial" pitchFamily="34" charset="0"/>
            </a:rPr>
            <a:t>Японские</a:t>
          </a:r>
          <a:r>
            <a:rPr lang="ru-RU" sz="1600" b="0" baseline="0">
              <a:latin typeface="+mn-lt"/>
              <a:ea typeface="Verdana" pitchFamily="34" charset="0"/>
              <a:cs typeface="Arial" pitchFamily="34" charset="0"/>
            </a:rPr>
            <a:t> ситемы </a:t>
          </a:r>
          <a:endParaRPr lang="en-US" sz="1600" b="0" baseline="0">
            <a:latin typeface="+mn-lt"/>
            <a:ea typeface="Verdana" pitchFamily="34" charset="0"/>
            <a:cs typeface="Arial" pitchFamily="34" charset="0"/>
          </a:endParaRPr>
        </a:p>
        <a:p>
          <a:r>
            <a:rPr lang="ru-RU" sz="1600" b="0" baseline="0">
              <a:latin typeface="+mn-lt"/>
              <a:ea typeface="Verdana" pitchFamily="34" charset="0"/>
              <a:cs typeface="Arial" pitchFamily="34" charset="0"/>
            </a:rPr>
            <a:t>кондиционирования</a:t>
          </a:r>
          <a:endParaRPr lang="ru-RU" sz="1600" b="0">
            <a:latin typeface="+mn-lt"/>
            <a:ea typeface="Verdana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612136</xdr:colOff>
      <xdr:row>0</xdr:row>
      <xdr:rowOff>47625</xdr:rowOff>
    </xdr:from>
    <xdr:to>
      <xdr:col>4</xdr:col>
      <xdr:colOff>1558</xdr:colOff>
      <xdr:row>2</xdr:row>
      <xdr:rowOff>135197</xdr:rowOff>
    </xdr:to>
    <xdr:sp macro="" textlink="">
      <xdr:nvSpPr>
        <xdr:cNvPr id="11" name="Прямоугольник 10"/>
        <xdr:cNvSpPr/>
      </xdr:nvSpPr>
      <xdr:spPr>
        <a:xfrm>
          <a:off x="5708011" y="47625"/>
          <a:ext cx="1684947" cy="41142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>
              <a:solidFill>
                <a:schemeClr val="bg1">
                  <a:lumMod val="75000"/>
                </a:schemeClr>
              </a:solidFill>
              <a:latin typeface="+mn-lt"/>
              <a:cs typeface="Arial" pitchFamily="34" charset="0"/>
            </a:rPr>
            <a:t>ПРАЙС-ЛИСТ</a:t>
          </a:r>
          <a:r>
            <a:rPr lang="ru-RU" sz="2000" b="1">
              <a:latin typeface="+mn-lt"/>
              <a:cs typeface="Arial" pitchFamily="34" charset="0"/>
            </a:rPr>
            <a:t> </a:t>
          </a:r>
          <a:endParaRPr lang="en-US" sz="2000" b="1"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605786</xdr:colOff>
      <xdr:row>1</xdr:row>
      <xdr:rowOff>94012</xdr:rowOff>
    </xdr:from>
    <xdr:to>
      <xdr:col>3</xdr:col>
      <xdr:colOff>1271558</xdr:colOff>
      <xdr:row>4</xdr:row>
      <xdr:rowOff>138895</xdr:rowOff>
    </xdr:to>
    <xdr:sp macro="" textlink="">
      <xdr:nvSpPr>
        <xdr:cNvPr id="12" name="Прямоугольник 11"/>
        <xdr:cNvSpPr/>
      </xdr:nvSpPr>
      <xdr:spPr>
        <a:xfrm>
          <a:off x="5701661" y="255937"/>
          <a:ext cx="1684947" cy="53065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800" b="1">
              <a:solidFill>
                <a:schemeClr val="bg1">
                  <a:lumMod val="75000"/>
                </a:schemeClr>
              </a:solidFill>
              <a:latin typeface="+mn-lt"/>
              <a:cs typeface="Arial" pitchFamily="34" charset="0"/>
            </a:rPr>
            <a:t>2020</a:t>
          </a:r>
        </a:p>
      </xdr:txBody>
    </xdr:sp>
    <xdr:clientData/>
  </xdr:twoCellAnchor>
  <xdr:twoCellAnchor>
    <xdr:from>
      <xdr:col>0</xdr:col>
      <xdr:colOff>3209925</xdr:colOff>
      <xdr:row>1</xdr:row>
      <xdr:rowOff>21229</xdr:rowOff>
    </xdr:from>
    <xdr:to>
      <xdr:col>0</xdr:col>
      <xdr:colOff>3255644</xdr:colOff>
      <xdr:row>3</xdr:row>
      <xdr:rowOff>78434</xdr:rowOff>
    </xdr:to>
    <xdr:sp macro="" textlink="">
      <xdr:nvSpPr>
        <xdr:cNvPr id="13" name="Прямоугольник 12"/>
        <xdr:cNvSpPr/>
      </xdr:nvSpPr>
      <xdr:spPr>
        <a:xfrm>
          <a:off x="3209925" y="183154"/>
          <a:ext cx="45719" cy="381055"/>
        </a:xfrm>
        <a:prstGeom prst="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209550</xdr:colOff>
      <xdr:row>4</xdr:row>
      <xdr:rowOff>76200</xdr:rowOff>
    </xdr:from>
    <xdr:to>
      <xdr:col>0</xdr:col>
      <xdr:colOff>3019425</xdr:colOff>
      <xdr:row>5</xdr:row>
      <xdr:rowOff>178835</xdr:rowOff>
    </xdr:to>
    <xdr:sp macro="" textlink="">
      <xdr:nvSpPr>
        <xdr:cNvPr id="14" name="Прямоугольник 13"/>
        <xdr:cNvSpPr/>
      </xdr:nvSpPr>
      <xdr:spPr>
        <a:xfrm>
          <a:off x="209550" y="723900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344328</xdr:colOff>
      <xdr:row>0</xdr:row>
      <xdr:rowOff>166687</xdr:rowOff>
    </xdr:from>
    <xdr:to>
      <xdr:col>19</xdr:col>
      <xdr:colOff>327179</xdr:colOff>
      <xdr:row>1</xdr:row>
      <xdr:rowOff>186976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15167609" y="166687"/>
          <a:ext cx="1566383" cy="59178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666750</xdr:colOff>
      <xdr:row>20</xdr:row>
      <xdr:rowOff>190500</xdr:rowOff>
    </xdr:from>
    <xdr:to>
      <xdr:col>7</xdr:col>
      <xdr:colOff>295275</xdr:colOff>
      <xdr:row>20</xdr:row>
      <xdr:rowOff>514350</xdr:rowOff>
    </xdr:to>
    <xdr:pic>
      <xdr:nvPicPr>
        <xdr:cNvPr id="359691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43525" y="17764125"/>
          <a:ext cx="1190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404812</xdr:colOff>
      <xdr:row>20</xdr:row>
      <xdr:rowOff>195262</xdr:rowOff>
    </xdr:from>
    <xdr:to>
      <xdr:col>8</xdr:col>
      <xdr:colOff>242887</xdr:colOff>
      <xdr:row>20</xdr:row>
      <xdr:rowOff>509587</xdr:rowOff>
    </xdr:to>
    <xdr:pic>
      <xdr:nvPicPr>
        <xdr:cNvPr id="359692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05625" y="19245262"/>
          <a:ext cx="623887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452438</xdr:colOff>
      <xdr:row>20</xdr:row>
      <xdr:rowOff>202407</xdr:rowOff>
    </xdr:from>
    <xdr:to>
      <xdr:col>8</xdr:col>
      <xdr:colOff>990600</xdr:colOff>
      <xdr:row>20</xdr:row>
      <xdr:rowOff>526257</xdr:rowOff>
    </xdr:to>
    <xdr:pic>
      <xdr:nvPicPr>
        <xdr:cNvPr id="359693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00988" y="4774407"/>
          <a:ext cx="538162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1092993</xdr:colOff>
      <xdr:row>20</xdr:row>
      <xdr:rowOff>85725</xdr:rowOff>
    </xdr:from>
    <xdr:to>
      <xdr:col>10</xdr:col>
      <xdr:colOff>107882</xdr:colOff>
      <xdr:row>20</xdr:row>
      <xdr:rowOff>552450</xdr:rowOff>
    </xdr:to>
    <xdr:pic>
      <xdr:nvPicPr>
        <xdr:cNvPr id="359694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41543" y="4657725"/>
          <a:ext cx="89131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47</xdr:row>
      <xdr:rowOff>161925</xdr:rowOff>
    </xdr:from>
    <xdr:to>
      <xdr:col>6</xdr:col>
      <xdr:colOff>733425</xdr:colOff>
      <xdr:row>47</xdr:row>
      <xdr:rowOff>485775</xdr:rowOff>
    </xdr:to>
    <xdr:pic>
      <xdr:nvPicPr>
        <xdr:cNvPr id="359696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62575" y="12353925"/>
          <a:ext cx="1219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</xdr:row>
      <xdr:rowOff>171450</xdr:rowOff>
    </xdr:from>
    <xdr:to>
      <xdr:col>7</xdr:col>
      <xdr:colOff>604837</xdr:colOff>
      <xdr:row>47</xdr:row>
      <xdr:rowOff>485775</xdr:rowOff>
    </xdr:to>
    <xdr:pic>
      <xdr:nvPicPr>
        <xdr:cNvPr id="359697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24650" y="14811375"/>
          <a:ext cx="600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47</xdr:row>
      <xdr:rowOff>190500</xdr:rowOff>
    </xdr:from>
    <xdr:to>
      <xdr:col>8</xdr:col>
      <xdr:colOff>583405</xdr:colOff>
      <xdr:row>47</xdr:row>
      <xdr:rowOff>514350</xdr:rowOff>
    </xdr:to>
    <xdr:pic>
      <xdr:nvPicPr>
        <xdr:cNvPr id="359698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67600" y="12382500"/>
          <a:ext cx="56435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714375</xdr:colOff>
      <xdr:row>47</xdr:row>
      <xdr:rowOff>76202</xdr:rowOff>
    </xdr:from>
    <xdr:to>
      <xdr:col>9</xdr:col>
      <xdr:colOff>161925</xdr:colOff>
      <xdr:row>48</xdr:row>
      <xdr:rowOff>9525</xdr:rowOff>
    </xdr:to>
    <xdr:pic>
      <xdr:nvPicPr>
        <xdr:cNvPr id="35969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" r="44102" b="-15425"/>
        <a:stretch>
          <a:fillRect/>
        </a:stretch>
      </xdr:blipFill>
      <xdr:spPr bwMode="auto">
        <a:xfrm>
          <a:off x="8162925" y="12268202"/>
          <a:ext cx="581025" cy="58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346456</xdr:colOff>
      <xdr:row>2</xdr:row>
      <xdr:rowOff>202405</xdr:rowOff>
    </xdr:from>
    <xdr:to>
      <xdr:col>21</xdr:col>
      <xdr:colOff>297656</xdr:colOff>
      <xdr:row>5</xdr:row>
      <xdr:rowOff>379165</xdr:rowOff>
    </xdr:to>
    <xdr:sp macro="" textlink="">
      <xdr:nvSpPr>
        <xdr:cNvPr id="55" name="TextBox 54">
          <a:hlinkClick xmlns:r="http://schemas.openxmlformats.org/officeDocument/2006/relationships" r:id="rId8"/>
        </xdr:cNvPr>
        <xdr:cNvSpPr txBox="1"/>
      </xdr:nvSpPr>
      <xdr:spPr>
        <a:xfrm>
          <a:off x="15169737" y="964405"/>
          <a:ext cx="2487232" cy="986385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lang="en-US" sz="1200" b="0">
              <a:solidFill>
                <a:schemeClr val="bg1"/>
              </a:solidFill>
              <a:latin typeface="+mn-lt"/>
              <a:cs typeface="Arial" pitchFamily="34" charset="0"/>
            </a:rPr>
            <a:t>C</a:t>
          </a:r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плит-системы бытового назначения на сайте </a:t>
          </a:r>
          <a:r>
            <a:rPr lang="en-US" sz="1400" b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400" b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44904</xdr:colOff>
      <xdr:row>185</xdr:row>
      <xdr:rowOff>54858</xdr:rowOff>
    </xdr:from>
    <xdr:to>
      <xdr:col>11</xdr:col>
      <xdr:colOff>620486</xdr:colOff>
      <xdr:row>190</xdr:row>
      <xdr:rowOff>126546</xdr:rowOff>
    </xdr:to>
    <xdr:sp macro="" textlink="">
      <xdr:nvSpPr>
        <xdr:cNvPr id="3" name="TextBox 2"/>
        <xdr:cNvSpPr txBox="1"/>
      </xdr:nvSpPr>
      <xdr:spPr>
        <a:xfrm>
          <a:off x="44904" y="56627915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0</xdr:col>
      <xdr:colOff>271462</xdr:colOff>
      <xdr:row>0</xdr:row>
      <xdr:rowOff>176212</xdr:rowOff>
    </xdr:from>
    <xdr:to>
      <xdr:col>2</xdr:col>
      <xdr:colOff>95249</xdr:colOff>
      <xdr:row>1</xdr:row>
      <xdr:rowOff>47638</xdr:rowOff>
    </xdr:to>
    <xdr:pic>
      <xdr:nvPicPr>
        <xdr:cNvPr id="359704" name="Рисунок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1462" y="176212"/>
          <a:ext cx="2538412" cy="44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1106581</xdr:colOff>
      <xdr:row>142</xdr:row>
      <xdr:rowOff>0</xdr:rowOff>
    </xdr:from>
    <xdr:to>
      <xdr:col>2</xdr:col>
      <xdr:colOff>449356</xdr:colOff>
      <xdr:row>143</xdr:row>
      <xdr:rowOff>58510</xdr:rowOff>
    </xdr:to>
    <xdr:pic>
      <xdr:nvPicPr>
        <xdr:cNvPr id="359705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6463" y="23229794"/>
          <a:ext cx="651062" cy="626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150</xdr:row>
      <xdr:rowOff>142875</xdr:rowOff>
    </xdr:from>
    <xdr:to>
      <xdr:col>2</xdr:col>
      <xdr:colOff>428625</xdr:colOff>
      <xdr:row>152</xdr:row>
      <xdr:rowOff>57151</xdr:rowOff>
    </xdr:to>
    <xdr:pic>
      <xdr:nvPicPr>
        <xdr:cNvPr id="359706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90775" y="27574875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</xdr:row>
      <xdr:rowOff>38100</xdr:rowOff>
    </xdr:from>
    <xdr:to>
      <xdr:col>2</xdr:col>
      <xdr:colOff>685800</xdr:colOff>
      <xdr:row>21</xdr:row>
      <xdr:rowOff>0</xdr:rowOff>
    </xdr:to>
    <xdr:pic>
      <xdr:nvPicPr>
        <xdr:cNvPr id="359709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81300" y="461010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47</xdr:row>
      <xdr:rowOff>19050</xdr:rowOff>
    </xdr:from>
    <xdr:to>
      <xdr:col>3</xdr:col>
      <xdr:colOff>38100</xdr:colOff>
      <xdr:row>48</xdr:row>
      <xdr:rowOff>0</xdr:rowOff>
    </xdr:to>
    <xdr:pic>
      <xdr:nvPicPr>
        <xdr:cNvPr id="35971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67025" y="122110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674594</xdr:colOff>
      <xdr:row>38</xdr:row>
      <xdr:rowOff>57150</xdr:rowOff>
    </xdr:from>
    <xdr:to>
      <xdr:col>5</xdr:col>
      <xdr:colOff>4857</xdr:colOff>
      <xdr:row>38</xdr:row>
      <xdr:rowOff>485775</xdr:rowOff>
    </xdr:to>
    <xdr:pic>
      <xdr:nvPicPr>
        <xdr:cNvPr id="359712" name="Picture 4" descr="C:\Users\YulyGM\Desktop\Management\General\Бренд_информация\Элементы фирменного стиля\иконки\Protestirovano_-30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57065" y="11195797"/>
          <a:ext cx="825314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20</xdr:row>
      <xdr:rowOff>123825</xdr:rowOff>
    </xdr:from>
    <xdr:to>
      <xdr:col>5</xdr:col>
      <xdr:colOff>28576</xdr:colOff>
      <xdr:row>20</xdr:row>
      <xdr:rowOff>552450</xdr:rowOff>
    </xdr:to>
    <xdr:pic>
      <xdr:nvPicPr>
        <xdr:cNvPr id="359713" name="Picture 4" descr="C:\Users\YulyGM\Desktop\Management\General\Бренд_информация\Элементы фирменного стиля\иконки\Protestirovano_-30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86200" y="17697450"/>
          <a:ext cx="819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142</xdr:row>
      <xdr:rowOff>47625</xdr:rowOff>
    </xdr:from>
    <xdr:to>
      <xdr:col>5</xdr:col>
      <xdr:colOff>28576</xdr:colOff>
      <xdr:row>142</xdr:row>
      <xdr:rowOff>476250</xdr:rowOff>
    </xdr:to>
    <xdr:pic>
      <xdr:nvPicPr>
        <xdr:cNvPr id="359715" name="Picture 4" descr="C:\Users\YulyGM\Desktop\Management\General\Бренд_информация\Элементы фирменного стиля\иконки\Protestirovano_-30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86200" y="25193625"/>
          <a:ext cx="819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1012030</xdr:colOff>
      <xdr:row>96</xdr:row>
      <xdr:rowOff>0</xdr:rowOff>
    </xdr:from>
    <xdr:to>
      <xdr:col>2</xdr:col>
      <xdr:colOff>427831</xdr:colOff>
      <xdr:row>97</xdr:row>
      <xdr:rowOff>21910</xdr:rowOff>
    </xdr:to>
    <xdr:pic>
      <xdr:nvPicPr>
        <xdr:cNvPr id="359716" name="Рисунок 71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16968" y="14339410"/>
          <a:ext cx="725488" cy="652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47</xdr:row>
      <xdr:rowOff>0</xdr:rowOff>
    </xdr:from>
    <xdr:to>
      <xdr:col>4</xdr:col>
      <xdr:colOff>4081</xdr:colOff>
      <xdr:row>47</xdr:row>
      <xdr:rowOff>619125</xdr:rowOff>
    </xdr:to>
    <xdr:pic>
      <xdr:nvPicPr>
        <xdr:cNvPr id="359718" name="Рисунок 74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43300" y="12192000"/>
          <a:ext cx="704849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19</xdr:row>
      <xdr:rowOff>180975</xdr:rowOff>
    </xdr:from>
    <xdr:to>
      <xdr:col>3</xdr:col>
      <xdr:colOff>714374</xdr:colOff>
      <xdr:row>20</xdr:row>
      <xdr:rowOff>662827</xdr:rowOff>
    </xdr:to>
    <xdr:pic>
      <xdr:nvPicPr>
        <xdr:cNvPr id="359719" name="Рисунок 75" descr="C:\Users\YulyGM\Desktop\Management\General\Бренд_информация\Элементы фирменного стиля\иконки\Klass-A_+++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33775" y="4562475"/>
          <a:ext cx="695324" cy="67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37</xdr:row>
      <xdr:rowOff>147357</xdr:rowOff>
    </xdr:from>
    <xdr:to>
      <xdr:col>3</xdr:col>
      <xdr:colOff>714374</xdr:colOff>
      <xdr:row>39</xdr:row>
      <xdr:rowOff>14008</xdr:rowOff>
    </xdr:to>
    <xdr:pic>
      <xdr:nvPicPr>
        <xdr:cNvPr id="359721" name="Рисунок 77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24250" y="9634257"/>
          <a:ext cx="70484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570939</xdr:colOff>
      <xdr:row>142</xdr:row>
      <xdr:rowOff>0</xdr:rowOff>
    </xdr:from>
    <xdr:to>
      <xdr:col>3</xdr:col>
      <xdr:colOff>542363</xdr:colOff>
      <xdr:row>143</xdr:row>
      <xdr:rowOff>45623</xdr:rowOff>
    </xdr:to>
    <xdr:pic>
      <xdr:nvPicPr>
        <xdr:cNvPr id="359722" name="Рисунок 78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36233" y="21067058"/>
          <a:ext cx="688601" cy="614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150</xdr:row>
      <xdr:rowOff>133350</xdr:rowOff>
    </xdr:from>
    <xdr:to>
      <xdr:col>3</xdr:col>
      <xdr:colOff>628649</xdr:colOff>
      <xdr:row>152</xdr:row>
      <xdr:rowOff>38101</xdr:rowOff>
    </xdr:to>
    <xdr:pic>
      <xdr:nvPicPr>
        <xdr:cNvPr id="359724" name="Рисунок 80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24200" y="27565350"/>
          <a:ext cx="685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57150</xdr:colOff>
      <xdr:row>37</xdr:row>
      <xdr:rowOff>175932</xdr:rowOff>
    </xdr:from>
    <xdr:ext cx="651062" cy="626969"/>
    <xdr:pic>
      <xdr:nvPicPr>
        <xdr:cNvPr id="6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38450" y="9662832"/>
          <a:ext cx="651062" cy="626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16668</xdr:colOff>
      <xdr:row>135</xdr:row>
      <xdr:rowOff>23813</xdr:rowOff>
    </xdr:from>
    <xdr:ext cx="688601" cy="619125"/>
    <xdr:pic>
      <xdr:nvPicPr>
        <xdr:cNvPr id="67" name="Рисунок 72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45668" y="8536782"/>
          <a:ext cx="688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966787</xdr:colOff>
      <xdr:row>126</xdr:row>
      <xdr:rowOff>0</xdr:rowOff>
    </xdr:from>
    <xdr:ext cx="647700" cy="627529"/>
    <xdr:pic>
      <xdr:nvPicPr>
        <xdr:cNvPr id="6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71725" y="11894343"/>
          <a:ext cx="647700" cy="627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521521</xdr:colOff>
      <xdr:row>126</xdr:row>
      <xdr:rowOff>270782</xdr:rowOff>
    </xdr:from>
    <xdr:to>
      <xdr:col>16</xdr:col>
      <xdr:colOff>84022</xdr:colOff>
      <xdr:row>128</xdr:row>
      <xdr:rowOff>208870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3407" y="34060039"/>
          <a:ext cx="2109758" cy="852488"/>
        </a:xfrm>
        <a:prstGeom prst="rect">
          <a:avLst/>
        </a:prstGeom>
      </xdr:spPr>
    </xdr:pic>
    <xdr:clientData/>
  </xdr:twoCellAnchor>
  <xdr:twoCellAnchor editAs="oneCell">
    <xdr:from>
      <xdr:col>13</xdr:col>
      <xdr:colOff>512648</xdr:colOff>
      <xdr:row>135</xdr:row>
      <xdr:rowOff>464684</xdr:rowOff>
    </xdr:from>
    <xdr:to>
      <xdr:col>16</xdr:col>
      <xdr:colOff>74256</xdr:colOff>
      <xdr:row>137</xdr:row>
      <xdr:rowOff>176923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534" y="36724998"/>
          <a:ext cx="2108865" cy="713725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523874</xdr:colOff>
      <xdr:row>38</xdr:row>
      <xdr:rowOff>364331</xdr:rowOff>
    </xdr:from>
    <xdr:to>
      <xdr:col>16</xdr:col>
      <xdr:colOff>82761</xdr:colOff>
      <xdr:row>40</xdr:row>
      <xdr:rowOff>218584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4" y="10041731"/>
          <a:ext cx="2102062" cy="844853"/>
        </a:xfrm>
        <a:prstGeom prst="rect">
          <a:avLst/>
        </a:prstGeom>
      </xdr:spPr>
    </xdr:pic>
    <xdr:clientData/>
  </xdr:twoCellAnchor>
  <xdr:twoCellAnchor editAs="oneCell">
    <xdr:from>
      <xdr:col>13</xdr:col>
      <xdr:colOff>514349</xdr:colOff>
      <xdr:row>47</xdr:row>
      <xdr:rowOff>309563</xdr:rowOff>
    </xdr:from>
    <xdr:to>
      <xdr:col>16</xdr:col>
      <xdr:colOff>73236</xdr:colOff>
      <xdr:row>49</xdr:row>
      <xdr:rowOff>208714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299" y="12501563"/>
          <a:ext cx="2102062" cy="927851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533397</xdr:colOff>
      <xdr:row>20</xdr:row>
      <xdr:rowOff>295274</xdr:rowOff>
    </xdr:from>
    <xdr:to>
      <xdr:col>16</xdr:col>
      <xdr:colOff>116097</xdr:colOff>
      <xdr:row>22</xdr:row>
      <xdr:rowOff>213218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47" y="4867274"/>
          <a:ext cx="2125875" cy="965694"/>
        </a:xfrm>
        <a:prstGeom prst="rect">
          <a:avLst/>
        </a:prstGeom>
      </xdr:spPr>
    </xdr:pic>
    <xdr:clientData/>
  </xdr:twoCellAnchor>
  <xdr:twoCellAnchor editAs="oneCell">
    <xdr:from>
      <xdr:col>13</xdr:col>
      <xdr:colOff>526938</xdr:colOff>
      <xdr:row>11</xdr:row>
      <xdr:rowOff>396647</xdr:rowOff>
    </xdr:from>
    <xdr:to>
      <xdr:col>16</xdr:col>
      <xdr:colOff>55790</xdr:colOff>
      <xdr:row>13</xdr:row>
      <xdr:rowOff>220436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8824" y="4750933"/>
          <a:ext cx="2076109" cy="857932"/>
        </a:xfrm>
        <a:prstGeom prst="rect">
          <a:avLst/>
        </a:prstGeom>
      </xdr:spPr>
    </xdr:pic>
    <xdr:clientData/>
  </xdr:twoCellAnchor>
  <xdr:twoCellAnchor editAs="oneCell">
    <xdr:from>
      <xdr:col>14</xdr:col>
      <xdr:colOff>566059</xdr:colOff>
      <xdr:row>142</xdr:row>
      <xdr:rowOff>118043</xdr:rowOff>
    </xdr:from>
    <xdr:to>
      <xdr:col>15</xdr:col>
      <xdr:colOff>662754</xdr:colOff>
      <xdr:row>144</xdr:row>
      <xdr:rowOff>327595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3488" y="38544614"/>
          <a:ext cx="1174380" cy="1156609"/>
        </a:xfrm>
        <a:prstGeom prst="rect">
          <a:avLst/>
        </a:prstGeom>
      </xdr:spPr>
    </xdr:pic>
    <xdr:clientData/>
  </xdr:twoCellAnchor>
  <xdr:twoCellAnchor editAs="oneCell">
    <xdr:from>
      <xdr:col>14</xdr:col>
      <xdr:colOff>604837</xdr:colOff>
      <xdr:row>151</xdr:row>
      <xdr:rowOff>43883</xdr:rowOff>
    </xdr:from>
    <xdr:to>
      <xdr:col>16</xdr:col>
      <xdr:colOff>37503</xdr:colOff>
      <xdr:row>153</xdr:row>
      <xdr:rowOff>301061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2266" y="40974169"/>
          <a:ext cx="1174380" cy="1160692"/>
        </a:xfrm>
        <a:prstGeom prst="rect">
          <a:avLst/>
        </a:prstGeom>
      </xdr:spPr>
    </xdr:pic>
    <xdr:clientData/>
  </xdr:twoCellAnchor>
  <xdr:oneCellAnchor>
    <xdr:from>
      <xdr:col>1</xdr:col>
      <xdr:colOff>454819</xdr:colOff>
      <xdr:row>96</xdr:row>
      <xdr:rowOff>11907</xdr:rowOff>
    </xdr:from>
    <xdr:ext cx="647700" cy="627529"/>
    <xdr:pic>
      <xdr:nvPicPr>
        <xdr:cNvPr id="47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59757" y="7762876"/>
          <a:ext cx="647700" cy="627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573541</xdr:colOff>
      <xdr:row>96</xdr:row>
      <xdr:rowOff>313983</xdr:rowOff>
    </xdr:from>
    <xdr:ext cx="2059200" cy="866284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5427" y="26635640"/>
          <a:ext cx="2059200" cy="866284"/>
        </a:xfrm>
        <a:prstGeom prst="rect">
          <a:avLst/>
        </a:prstGeom>
      </xdr:spPr>
    </xdr:pic>
    <xdr:clientData/>
  </xdr:oneCellAnchor>
  <xdr:twoCellAnchor editAs="oneCell">
    <xdr:from>
      <xdr:col>13</xdr:col>
      <xdr:colOff>578641</xdr:colOff>
      <xdr:row>27</xdr:row>
      <xdr:rowOff>347663</xdr:rowOff>
    </xdr:from>
    <xdr:to>
      <xdr:col>16</xdr:col>
      <xdr:colOff>237603</xdr:colOff>
      <xdr:row>29</xdr:row>
      <xdr:rowOff>330103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0591" y="7110413"/>
          <a:ext cx="2202137" cy="992091"/>
        </a:xfrm>
        <a:prstGeom prst="rect">
          <a:avLst/>
        </a:prstGeom>
      </xdr:spPr>
    </xdr:pic>
    <xdr:clientData/>
  </xdr:twoCellAnchor>
  <xdr:oneCellAnchor>
    <xdr:from>
      <xdr:col>1</xdr:col>
      <xdr:colOff>954880</xdr:colOff>
      <xdr:row>113</xdr:row>
      <xdr:rowOff>11906</xdr:rowOff>
    </xdr:from>
    <xdr:ext cx="647700" cy="627529"/>
    <xdr:pic>
      <xdr:nvPicPr>
        <xdr:cNvPr id="61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59818" y="4464844"/>
          <a:ext cx="647700" cy="627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573880</xdr:colOff>
      <xdr:row>77</xdr:row>
      <xdr:rowOff>0</xdr:rowOff>
    </xdr:from>
    <xdr:ext cx="647700" cy="627529"/>
    <xdr:pic>
      <xdr:nvPicPr>
        <xdr:cNvPr id="63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78818" y="14728031"/>
          <a:ext cx="647700" cy="627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1188243</xdr:colOff>
      <xdr:row>77</xdr:row>
      <xdr:rowOff>57150</xdr:rowOff>
    </xdr:from>
    <xdr:to>
      <xdr:col>2</xdr:col>
      <xdr:colOff>414337</xdr:colOff>
      <xdr:row>77</xdr:row>
      <xdr:rowOff>589360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181" y="4986338"/>
          <a:ext cx="535781" cy="532210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250031</xdr:colOff>
      <xdr:row>113</xdr:row>
      <xdr:rowOff>59531</xdr:rowOff>
    </xdr:from>
    <xdr:to>
      <xdr:col>3</xdr:col>
      <xdr:colOff>71437</xdr:colOff>
      <xdr:row>113</xdr:row>
      <xdr:rowOff>591741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6" y="8667750"/>
          <a:ext cx="535781" cy="532210"/>
        </a:xfrm>
        <a:prstGeom prst="rect">
          <a:avLst/>
        </a:prstGeom>
      </xdr:spPr>
    </xdr:pic>
    <xdr:clientData/>
  </xdr:twoCellAnchor>
  <xdr:twoCellAnchor editAs="oneCell">
    <xdr:from>
      <xdr:col>13</xdr:col>
      <xdr:colOff>556194</xdr:colOff>
      <xdr:row>113</xdr:row>
      <xdr:rowOff>272868</xdr:rowOff>
    </xdr:from>
    <xdr:to>
      <xdr:col>16</xdr:col>
      <xdr:colOff>154101</xdr:colOff>
      <xdr:row>115</xdr:row>
      <xdr:rowOff>371452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8080" y="30720211"/>
          <a:ext cx="2145164" cy="1100069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126</xdr:row>
      <xdr:rowOff>0</xdr:rowOff>
    </xdr:from>
    <xdr:to>
      <xdr:col>3</xdr:col>
      <xdr:colOff>223837</xdr:colOff>
      <xdr:row>127</xdr:row>
      <xdr:rowOff>128406</xdr:rowOff>
    </xdr:to>
    <xdr:pic>
      <xdr:nvPicPr>
        <xdr:cNvPr id="62" name="Рисунок 75" descr="C:\Users\YulyGM\Desktop\Management\General\Бренд_информация\Элементы фирменного стиля\иконки\Klass-A_+++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76563" y="11849101"/>
          <a:ext cx="676274" cy="67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27</xdr:row>
      <xdr:rowOff>7618</xdr:rowOff>
    </xdr:from>
    <xdr:to>
      <xdr:col>2</xdr:col>
      <xdr:colOff>676274</xdr:colOff>
      <xdr:row>27</xdr:row>
      <xdr:rowOff>610343</xdr:rowOff>
    </xdr:to>
    <xdr:pic>
      <xdr:nvPicPr>
        <xdr:cNvPr id="5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09874" y="6770368"/>
          <a:ext cx="647700" cy="60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16669</xdr:colOff>
      <xdr:row>27</xdr:row>
      <xdr:rowOff>71284</xdr:rowOff>
    </xdr:from>
    <xdr:to>
      <xdr:col>4</xdr:col>
      <xdr:colOff>552450</xdr:colOff>
      <xdr:row>27</xdr:row>
      <xdr:rowOff>582458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819" y="6834034"/>
          <a:ext cx="535781" cy="51117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26</xdr:row>
      <xdr:rowOff>164594</xdr:rowOff>
    </xdr:from>
    <xdr:to>
      <xdr:col>3</xdr:col>
      <xdr:colOff>676274</xdr:colOff>
      <xdr:row>27</xdr:row>
      <xdr:rowOff>617583</xdr:rowOff>
    </xdr:to>
    <xdr:pic>
      <xdr:nvPicPr>
        <xdr:cNvPr id="65" name="Рисунок 75" descr="C:\Users\YulyGM\Desktop\Management\General\Бренд_информация\Элементы фирменного стиля\иконки\Klass-A_+++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95675" y="6736844"/>
          <a:ext cx="695324" cy="643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333374</xdr:colOff>
      <xdr:row>77</xdr:row>
      <xdr:rowOff>0</xdr:rowOff>
    </xdr:from>
    <xdr:to>
      <xdr:col>3</xdr:col>
      <xdr:colOff>344487</xdr:colOff>
      <xdr:row>78</xdr:row>
      <xdr:rowOff>21912</xdr:rowOff>
    </xdr:to>
    <xdr:pic>
      <xdr:nvPicPr>
        <xdr:cNvPr id="66" name="Рисунок 71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47999" y="2012156"/>
          <a:ext cx="725488" cy="652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700087</xdr:colOff>
      <xdr:row>113</xdr:row>
      <xdr:rowOff>0</xdr:rowOff>
    </xdr:from>
    <xdr:to>
      <xdr:col>3</xdr:col>
      <xdr:colOff>711200</xdr:colOff>
      <xdr:row>114</xdr:row>
      <xdr:rowOff>21911</xdr:rowOff>
    </xdr:to>
    <xdr:pic>
      <xdr:nvPicPr>
        <xdr:cNvPr id="69" name="Рисунок 71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14712" y="8605837"/>
          <a:ext cx="725488" cy="652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562995</xdr:colOff>
      <xdr:row>77</xdr:row>
      <xdr:rowOff>206829</xdr:rowOff>
    </xdr:from>
    <xdr:to>
      <xdr:col>16</xdr:col>
      <xdr:colOff>180633</xdr:colOff>
      <xdr:row>79</xdr:row>
      <xdr:rowOff>305414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4881" y="22402800"/>
          <a:ext cx="2164895" cy="1100070"/>
        </a:xfrm>
        <a:prstGeom prst="rect">
          <a:avLst/>
        </a:prstGeom>
      </xdr:spPr>
    </xdr:pic>
    <xdr:clientData/>
  </xdr:twoCellAnchor>
  <xdr:twoCellAnchor>
    <xdr:from>
      <xdr:col>12</xdr:col>
      <xdr:colOff>476250</xdr:colOff>
      <xdr:row>0</xdr:row>
      <xdr:rowOff>440532</xdr:rowOff>
    </xdr:from>
    <xdr:to>
      <xdr:col>16</xdr:col>
      <xdr:colOff>23813</xdr:colOff>
      <xdr:row>1</xdr:row>
      <xdr:rowOff>133592</xdr:rowOff>
    </xdr:to>
    <xdr:sp macro="" textlink="">
      <xdr:nvSpPr>
        <xdr:cNvPr id="71" name="Прямоугольник 70"/>
        <xdr:cNvSpPr/>
      </xdr:nvSpPr>
      <xdr:spPr>
        <a:xfrm>
          <a:off x="11227594" y="440532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oneCellAnchor>
    <xdr:from>
      <xdr:col>2</xdr:col>
      <xdr:colOff>85725</xdr:colOff>
      <xdr:row>58</xdr:row>
      <xdr:rowOff>19050</xdr:rowOff>
    </xdr:from>
    <xdr:ext cx="685800" cy="628650"/>
    <xdr:pic>
      <xdr:nvPicPr>
        <xdr:cNvPr id="76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67025" y="122110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28575</xdr:colOff>
      <xdr:row>58</xdr:row>
      <xdr:rowOff>0</xdr:rowOff>
    </xdr:from>
    <xdr:ext cx="704849" cy="619125"/>
    <xdr:pic>
      <xdr:nvPicPr>
        <xdr:cNvPr id="77" name="Рисунок 74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43300" y="12192000"/>
          <a:ext cx="704849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</xdr:col>
      <xdr:colOff>68376</xdr:colOff>
      <xdr:row>58</xdr:row>
      <xdr:rowOff>78088</xdr:rowOff>
    </xdr:from>
    <xdr:to>
      <xdr:col>4</xdr:col>
      <xdr:colOff>604157</xdr:colOff>
      <xdr:row>58</xdr:row>
      <xdr:rowOff>589262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2919" y="17723831"/>
          <a:ext cx="535781" cy="511174"/>
        </a:xfrm>
        <a:prstGeom prst="rect">
          <a:avLst/>
        </a:prstGeom>
      </xdr:spPr>
    </xdr:pic>
    <xdr:clientData/>
  </xdr:twoCellAnchor>
  <xdr:twoCellAnchor editAs="oneCell">
    <xdr:from>
      <xdr:col>13</xdr:col>
      <xdr:colOff>288471</xdr:colOff>
      <xdr:row>6</xdr:row>
      <xdr:rowOff>402877</xdr:rowOff>
    </xdr:from>
    <xdr:to>
      <xdr:col>16</xdr:col>
      <xdr:colOff>5442</xdr:colOff>
      <xdr:row>8</xdr:row>
      <xdr:rowOff>157500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357" y="2449391"/>
          <a:ext cx="2264228" cy="788766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11</xdr:row>
      <xdr:rowOff>180975</xdr:rowOff>
    </xdr:from>
    <xdr:to>
      <xdr:col>7</xdr:col>
      <xdr:colOff>352425</xdr:colOff>
      <xdr:row>11</xdr:row>
      <xdr:rowOff>504825</xdr:rowOff>
    </xdr:to>
    <xdr:pic>
      <xdr:nvPicPr>
        <xdr:cNvPr id="90" name="Picture 3" descr="C:\Documents and Settings\IlyaER\Рабочий стол\gda20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72150" y="4276725"/>
          <a:ext cx="12287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461962</xdr:colOff>
      <xdr:row>11</xdr:row>
      <xdr:rowOff>185737</xdr:rowOff>
    </xdr:from>
    <xdr:to>
      <xdr:col>8</xdr:col>
      <xdr:colOff>300037</xdr:colOff>
      <xdr:row>11</xdr:row>
      <xdr:rowOff>500062</xdr:rowOff>
    </xdr:to>
    <xdr:pic>
      <xdr:nvPicPr>
        <xdr:cNvPr id="91" name="Picture 1" descr="G:\NEW\2011\iF product design award 2012\535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10412" y="4281487"/>
          <a:ext cx="638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509588</xdr:colOff>
      <xdr:row>11</xdr:row>
      <xdr:rowOff>192882</xdr:rowOff>
    </xdr:from>
    <xdr:to>
      <xdr:col>8</xdr:col>
      <xdr:colOff>1047750</xdr:colOff>
      <xdr:row>11</xdr:row>
      <xdr:rowOff>516732</xdr:rowOff>
    </xdr:to>
    <xdr:pic>
      <xdr:nvPicPr>
        <xdr:cNvPr id="92" name="Picture 1" descr="C:\Documents and Settings\IlyaER\Рабочий стол\www.perfectimage.ru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58138" y="4288632"/>
          <a:ext cx="538162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16668</xdr:colOff>
      <xdr:row>11</xdr:row>
      <xdr:rowOff>76200</xdr:rowOff>
    </xdr:from>
    <xdr:to>
      <xdr:col>10</xdr:col>
      <xdr:colOff>165032</xdr:colOff>
      <xdr:row>11</xdr:row>
      <xdr:rowOff>542925</xdr:rowOff>
    </xdr:to>
    <xdr:pic>
      <xdr:nvPicPr>
        <xdr:cNvPr id="9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98693" y="4171950"/>
          <a:ext cx="89131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11</xdr:row>
      <xdr:rowOff>28575</xdr:rowOff>
    </xdr:from>
    <xdr:to>
      <xdr:col>3</xdr:col>
      <xdr:colOff>9525</xdr:colOff>
      <xdr:row>12</xdr:row>
      <xdr:rowOff>9525</xdr:rowOff>
    </xdr:to>
    <xdr:pic>
      <xdr:nvPicPr>
        <xdr:cNvPr id="9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38450" y="4124325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11</xdr:row>
      <xdr:rowOff>114300</xdr:rowOff>
    </xdr:from>
    <xdr:to>
      <xdr:col>5</xdr:col>
      <xdr:colOff>85726</xdr:colOff>
      <xdr:row>11</xdr:row>
      <xdr:rowOff>542925</xdr:rowOff>
    </xdr:to>
    <xdr:pic>
      <xdr:nvPicPr>
        <xdr:cNvPr id="95" name="Picture 4" descr="C:\Users\YulyGM\Desktop\Management\General\Бренд_информация\Элементы фирменного стиля\иконки\Protestirovano_-30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76725" y="4210050"/>
          <a:ext cx="857251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</xdr:row>
      <xdr:rowOff>419100</xdr:rowOff>
    </xdr:from>
    <xdr:to>
      <xdr:col>4</xdr:col>
      <xdr:colOff>38099</xdr:colOff>
      <xdr:row>12</xdr:row>
      <xdr:rowOff>27374</xdr:rowOff>
    </xdr:to>
    <xdr:pic>
      <xdr:nvPicPr>
        <xdr:cNvPr id="96" name="Рисунок 75" descr="C:\Users\YulyGM\Desktop\Management\General\Бренд_информация\Элементы фирменного стиля\иконки\Klass-A_+++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90925" y="4076700"/>
          <a:ext cx="695324" cy="67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</xdr:row>
      <xdr:rowOff>19050</xdr:rowOff>
    </xdr:from>
    <xdr:to>
      <xdr:col>2</xdr:col>
      <xdr:colOff>714375</xdr:colOff>
      <xdr:row>7</xdr:row>
      <xdr:rowOff>0</xdr:rowOff>
    </xdr:to>
    <xdr:pic>
      <xdr:nvPicPr>
        <xdr:cNvPr id="97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09875" y="20383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</xdr:row>
      <xdr:rowOff>428625</xdr:rowOff>
    </xdr:from>
    <xdr:to>
      <xdr:col>3</xdr:col>
      <xdr:colOff>676274</xdr:colOff>
      <xdr:row>7</xdr:row>
      <xdr:rowOff>15127</xdr:rowOff>
    </xdr:to>
    <xdr:pic>
      <xdr:nvPicPr>
        <xdr:cNvPr id="98" name="Рисунок 75" descr="C:\Users\YulyGM\Desktop\Management\General\Бренд_информация\Элементы фирменного стиля\иконки\Klass-A_+++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95675" y="2009775"/>
          <a:ext cx="695324" cy="67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54769</xdr:colOff>
      <xdr:row>6</xdr:row>
      <xdr:rowOff>99859</xdr:rowOff>
    </xdr:from>
    <xdr:to>
      <xdr:col>4</xdr:col>
      <xdr:colOff>590550</xdr:colOff>
      <xdr:row>6</xdr:row>
      <xdr:rowOff>611033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2919" y="2119159"/>
          <a:ext cx="535781" cy="511174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177855</xdr:colOff>
      <xdr:row>58</xdr:row>
      <xdr:rowOff>251127</xdr:rowOff>
    </xdr:from>
    <xdr:to>
      <xdr:col>16</xdr:col>
      <xdr:colOff>587828</xdr:colOff>
      <xdr:row>60</xdr:row>
      <xdr:rowOff>110824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284" y="17896870"/>
          <a:ext cx="2151687" cy="893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293914</xdr:colOff>
      <xdr:row>58</xdr:row>
      <xdr:rowOff>355386</xdr:rowOff>
    </xdr:from>
    <xdr:to>
      <xdr:col>14</xdr:col>
      <xdr:colOff>10884</xdr:colOff>
      <xdr:row>60</xdr:row>
      <xdr:rowOff>205301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4714" y="18001129"/>
          <a:ext cx="2133599" cy="884058"/>
        </a:xfrm>
        <a:prstGeom prst="rect">
          <a:avLst/>
        </a:prstGeom>
      </xdr:spPr>
    </xdr:pic>
    <xdr:clientData/>
  </xdr:twoCellAnchor>
  <xdr:twoCellAnchor editAs="oneCell">
    <xdr:from>
      <xdr:col>1</xdr:col>
      <xdr:colOff>959302</xdr:colOff>
      <xdr:row>58</xdr:row>
      <xdr:rowOff>93209</xdr:rowOff>
    </xdr:from>
    <xdr:to>
      <xdr:col>2</xdr:col>
      <xdr:colOff>115508</xdr:colOff>
      <xdr:row>58</xdr:row>
      <xdr:rowOff>563197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6216" y="17738952"/>
          <a:ext cx="495149" cy="4699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429895</xdr:colOff>
      <xdr:row>2</xdr:row>
      <xdr:rowOff>241300</xdr:rowOff>
    </xdr:from>
    <xdr:to>
      <xdr:col>22</xdr:col>
      <xdr:colOff>292100</xdr:colOff>
      <xdr:row>6</xdr:row>
      <xdr:rowOff>342900</xdr:rowOff>
    </xdr:to>
    <xdr:sp macro="" textlink="">
      <xdr:nvSpPr>
        <xdr:cNvPr id="14" name="TextBox 13">
          <a:hlinkClick xmlns:r="http://schemas.openxmlformats.org/officeDocument/2006/relationships" r:id="rId1"/>
        </xdr:cNvPr>
        <xdr:cNvSpPr txBox="1"/>
      </xdr:nvSpPr>
      <xdr:spPr>
        <a:xfrm>
          <a:off x="14501495" y="1003300"/>
          <a:ext cx="2910205" cy="11176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кассетного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450851</xdr:colOff>
      <xdr:row>0</xdr:row>
      <xdr:rowOff>168275</xdr:rowOff>
    </xdr:from>
    <xdr:to>
      <xdr:col>2</xdr:col>
      <xdr:colOff>342901</xdr:colOff>
      <xdr:row>1</xdr:row>
      <xdr:rowOff>59068</xdr:rowOff>
    </xdr:to>
    <xdr:pic>
      <xdr:nvPicPr>
        <xdr:cNvPr id="347532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0851" y="168275"/>
          <a:ext cx="2647950" cy="46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447675</xdr:colOff>
      <xdr:row>0</xdr:row>
      <xdr:rowOff>215900</xdr:rowOff>
    </xdr:from>
    <xdr:to>
      <xdr:col>20</xdr:col>
      <xdr:colOff>202704</xdr:colOff>
      <xdr:row>1</xdr:row>
      <xdr:rowOff>185521</xdr:rowOff>
    </xdr:to>
    <xdr:sp macro="" textlink="">
      <xdr:nvSpPr>
        <xdr:cNvPr id="17" name="TextBox 16">
          <a:hlinkClick xmlns:r="http://schemas.openxmlformats.org/officeDocument/2006/relationships" r:id="rId4"/>
        </xdr:cNvPr>
        <xdr:cNvSpPr txBox="1"/>
      </xdr:nvSpPr>
      <xdr:spPr>
        <a:xfrm>
          <a:off x="14519275" y="215900"/>
          <a:ext cx="1583829" cy="5411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11</xdr:col>
      <xdr:colOff>138907</xdr:colOff>
      <xdr:row>6</xdr:row>
      <xdr:rowOff>570705</xdr:rowOff>
    </xdr:from>
    <xdr:to>
      <xdr:col>11</xdr:col>
      <xdr:colOff>786607</xdr:colOff>
      <xdr:row>8</xdr:row>
      <xdr:rowOff>35401</xdr:rowOff>
    </xdr:to>
    <xdr:pic>
      <xdr:nvPicPr>
        <xdr:cNvPr id="1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84507" y="2348705"/>
          <a:ext cx="647700" cy="625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461963</xdr:colOff>
      <xdr:row>91</xdr:row>
      <xdr:rowOff>21430</xdr:rowOff>
    </xdr:from>
    <xdr:to>
      <xdr:col>9</xdr:col>
      <xdr:colOff>335757</xdr:colOff>
      <xdr:row>92</xdr:row>
      <xdr:rowOff>50004</xdr:rowOff>
    </xdr:to>
    <xdr:pic>
      <xdr:nvPicPr>
        <xdr:cNvPr id="12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67651" y="6831805"/>
          <a:ext cx="647700" cy="623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650649</xdr:colOff>
      <xdr:row>151</xdr:row>
      <xdr:rowOff>12814</xdr:rowOff>
    </xdr:from>
    <xdr:to>
      <xdr:col>10</xdr:col>
      <xdr:colOff>3743</xdr:colOff>
      <xdr:row>152</xdr:row>
      <xdr:rowOff>77110</xdr:rowOff>
    </xdr:to>
    <xdr:pic>
      <xdr:nvPicPr>
        <xdr:cNvPr id="15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54749" y="11353914"/>
          <a:ext cx="648494" cy="623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215900</xdr:colOff>
      <xdr:row>7</xdr:row>
      <xdr:rowOff>215900</xdr:rowOff>
    </xdr:from>
    <xdr:to>
      <xdr:col>15</xdr:col>
      <xdr:colOff>92075</xdr:colOff>
      <xdr:row>8</xdr:row>
      <xdr:rowOff>285750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900" y="2565400"/>
          <a:ext cx="1133475" cy="66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91</xdr:row>
      <xdr:rowOff>139700</xdr:rowOff>
    </xdr:from>
    <xdr:to>
      <xdr:col>14</xdr:col>
      <xdr:colOff>1216025</xdr:colOff>
      <xdr:row>92</xdr:row>
      <xdr:rowOff>304799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6985000"/>
          <a:ext cx="1152525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151</xdr:row>
      <xdr:rowOff>114300</xdr:rowOff>
    </xdr:from>
    <xdr:to>
      <xdr:col>14</xdr:col>
      <xdr:colOff>1203325</xdr:colOff>
      <xdr:row>152</xdr:row>
      <xdr:rowOff>317502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800" y="10312400"/>
          <a:ext cx="1152525" cy="7620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0</xdr:row>
      <xdr:rowOff>431800</xdr:rowOff>
    </xdr:from>
    <xdr:to>
      <xdr:col>15</xdr:col>
      <xdr:colOff>600075</xdr:colOff>
      <xdr:row>1</xdr:row>
      <xdr:rowOff>124860</xdr:rowOff>
    </xdr:to>
    <xdr:sp macro="" textlink="">
      <xdr:nvSpPr>
        <xdr:cNvPr id="13" name="Прямоугольник 12"/>
        <xdr:cNvSpPr/>
      </xdr:nvSpPr>
      <xdr:spPr>
        <a:xfrm>
          <a:off x="10731500" y="431800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oneCellAnchor>
    <xdr:from>
      <xdr:col>11</xdr:col>
      <xdr:colOff>147872</xdr:colOff>
      <xdr:row>59</xdr:row>
      <xdr:rowOff>10411</xdr:rowOff>
    </xdr:from>
    <xdr:ext cx="647700" cy="625476"/>
    <xdr:pic>
      <xdr:nvPicPr>
        <xdr:cNvPr id="1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14601" y="13520223"/>
          <a:ext cx="647700" cy="625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215900</xdr:colOff>
      <xdr:row>59</xdr:row>
      <xdr:rowOff>215900</xdr:rowOff>
    </xdr:from>
    <xdr:ext cx="1176655" cy="66929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4540" y="2583180"/>
          <a:ext cx="1176655" cy="669290"/>
        </a:xfrm>
        <a:prstGeom prst="rect">
          <a:avLst/>
        </a:prstGeom>
      </xdr:spPr>
    </xdr:pic>
    <xdr:clientData/>
  </xdr:oneCellAnchor>
  <xdr:twoCellAnchor>
    <xdr:from>
      <xdr:col>11</xdr:col>
      <xdr:colOff>741680</xdr:colOff>
      <xdr:row>59</xdr:row>
      <xdr:rowOff>81280</xdr:rowOff>
    </xdr:from>
    <xdr:to>
      <xdr:col>12</xdr:col>
      <xdr:colOff>393541</xdr:colOff>
      <xdr:row>60</xdr:row>
      <xdr:rowOff>784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8409" y="13591092"/>
          <a:ext cx="539367" cy="5111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223520</xdr:colOff>
      <xdr:row>59</xdr:row>
      <xdr:rowOff>71120</xdr:rowOff>
    </xdr:from>
    <xdr:to>
      <xdr:col>11</xdr:col>
      <xdr:colOff>159869</xdr:colOff>
      <xdr:row>59</xdr:row>
      <xdr:rowOff>541108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34438" y="13580932"/>
          <a:ext cx="492160" cy="469988"/>
        </a:xfrm>
        <a:prstGeom prst="rect">
          <a:avLst/>
        </a:prstGeom>
      </xdr:spPr>
    </xdr:pic>
    <xdr:clientData/>
  </xdr:twoCellAnchor>
  <xdr:oneCellAnchor>
    <xdr:from>
      <xdr:col>11</xdr:col>
      <xdr:colOff>138907</xdr:colOff>
      <xdr:row>26</xdr:row>
      <xdr:rowOff>570705</xdr:rowOff>
    </xdr:from>
    <xdr:ext cx="647700" cy="622488"/>
    <xdr:pic>
      <xdr:nvPicPr>
        <xdr:cNvPr id="26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05636" y="2354681"/>
          <a:ext cx="647700" cy="62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215900</xdr:colOff>
      <xdr:row>27</xdr:row>
      <xdr:rowOff>215900</xdr:rowOff>
    </xdr:from>
    <xdr:ext cx="1176057" cy="66152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5853" y="2573618"/>
          <a:ext cx="1176057" cy="661520"/>
        </a:xfrm>
        <a:prstGeom prst="rect">
          <a:avLst/>
        </a:prstGeom>
      </xdr:spPr>
    </xdr:pic>
    <xdr:clientData/>
  </xdr:oneCellAnchor>
  <xdr:twoCellAnchor>
    <xdr:from>
      <xdr:col>11</xdr:col>
      <xdr:colOff>752437</xdr:colOff>
      <xdr:row>27</xdr:row>
      <xdr:rowOff>69327</xdr:rowOff>
    </xdr:from>
    <xdr:to>
      <xdr:col>12</xdr:col>
      <xdr:colOff>404298</xdr:colOff>
      <xdr:row>27</xdr:row>
      <xdr:rowOff>580501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9166" y="6873539"/>
          <a:ext cx="539367" cy="511174"/>
        </a:xfrm>
        <a:prstGeom prst="rect">
          <a:avLst/>
        </a:prstGeom>
      </xdr:spPr>
    </xdr:pic>
    <xdr:clientData/>
  </xdr:twoCellAnchor>
  <xdr:twoCellAnchor editAs="oneCell">
    <xdr:from>
      <xdr:col>10</xdr:col>
      <xdr:colOff>243241</xdr:colOff>
      <xdr:row>27</xdr:row>
      <xdr:rowOff>77097</xdr:rowOff>
    </xdr:from>
    <xdr:to>
      <xdr:col>11</xdr:col>
      <xdr:colOff>179590</xdr:colOff>
      <xdr:row>27</xdr:row>
      <xdr:rowOff>547085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154159" y="6881309"/>
          <a:ext cx="492160" cy="469988"/>
        </a:xfrm>
        <a:prstGeom prst="rect">
          <a:avLst/>
        </a:prstGeom>
      </xdr:spPr>
    </xdr:pic>
    <xdr:clientData/>
  </xdr:twoCellAnchor>
  <xdr:oneCellAnchor>
    <xdr:from>
      <xdr:col>14</xdr:col>
      <xdr:colOff>63500</xdr:colOff>
      <xdr:row>111</xdr:row>
      <xdr:rowOff>139700</xdr:rowOff>
    </xdr:from>
    <xdr:ext cx="1152525" cy="756769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3453" y="20355112"/>
          <a:ext cx="1152525" cy="756769"/>
        </a:xfrm>
        <a:prstGeom prst="rect">
          <a:avLst/>
        </a:prstGeom>
      </xdr:spPr>
    </xdr:pic>
    <xdr:clientData/>
  </xdr:oneCellAnchor>
  <xdr:oneCellAnchor>
    <xdr:from>
      <xdr:col>10</xdr:col>
      <xdr:colOff>363025</xdr:colOff>
      <xdr:row>111</xdr:row>
      <xdr:rowOff>10411</xdr:rowOff>
    </xdr:from>
    <xdr:ext cx="647700" cy="625476"/>
    <xdr:pic>
      <xdr:nvPicPr>
        <xdr:cNvPr id="3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73943" y="24672317"/>
          <a:ext cx="647700" cy="625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11</xdr:col>
      <xdr:colOff>401022</xdr:colOff>
      <xdr:row>111</xdr:row>
      <xdr:rowOff>81280</xdr:rowOff>
    </xdr:from>
    <xdr:to>
      <xdr:col>12</xdr:col>
      <xdr:colOff>52883</xdr:colOff>
      <xdr:row>112</xdr:row>
      <xdr:rowOff>784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751" y="24743186"/>
          <a:ext cx="539367" cy="511174"/>
        </a:xfrm>
        <a:prstGeom prst="rect">
          <a:avLst/>
        </a:prstGeom>
      </xdr:spPr>
    </xdr:pic>
    <xdr:clientData/>
  </xdr:twoCellAnchor>
  <xdr:twoCellAnchor editAs="oneCell">
    <xdr:from>
      <xdr:col>9</xdr:col>
      <xdr:colOff>411780</xdr:colOff>
      <xdr:row>111</xdr:row>
      <xdr:rowOff>71120</xdr:rowOff>
    </xdr:from>
    <xdr:to>
      <xdr:col>10</xdr:col>
      <xdr:colOff>375022</xdr:colOff>
      <xdr:row>111</xdr:row>
      <xdr:rowOff>541108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93780" y="24733026"/>
          <a:ext cx="492160" cy="469988"/>
        </a:xfrm>
        <a:prstGeom prst="rect">
          <a:avLst/>
        </a:prstGeom>
      </xdr:spPr>
    </xdr:pic>
    <xdr:clientData/>
  </xdr:twoCellAnchor>
  <xdr:oneCellAnchor>
    <xdr:from>
      <xdr:col>14</xdr:col>
      <xdr:colOff>63500</xdr:colOff>
      <xdr:row>131</xdr:row>
      <xdr:rowOff>139700</xdr:rowOff>
    </xdr:from>
    <xdr:ext cx="1152525" cy="756769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3453" y="24801606"/>
          <a:ext cx="1152525" cy="756769"/>
        </a:xfrm>
        <a:prstGeom prst="rect">
          <a:avLst/>
        </a:prstGeom>
      </xdr:spPr>
    </xdr:pic>
    <xdr:clientData/>
  </xdr:oneCellAnchor>
  <xdr:oneCellAnchor>
    <xdr:from>
      <xdr:col>10</xdr:col>
      <xdr:colOff>363025</xdr:colOff>
      <xdr:row>131</xdr:row>
      <xdr:rowOff>10411</xdr:rowOff>
    </xdr:from>
    <xdr:ext cx="647700" cy="625476"/>
    <xdr:pic>
      <xdr:nvPicPr>
        <xdr:cNvPr id="3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73943" y="24672317"/>
          <a:ext cx="647700" cy="625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11</xdr:col>
      <xdr:colOff>401022</xdr:colOff>
      <xdr:row>131</xdr:row>
      <xdr:rowOff>81280</xdr:rowOff>
    </xdr:from>
    <xdr:to>
      <xdr:col>12</xdr:col>
      <xdr:colOff>52883</xdr:colOff>
      <xdr:row>132</xdr:row>
      <xdr:rowOff>784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751" y="24743186"/>
          <a:ext cx="539367" cy="511174"/>
        </a:xfrm>
        <a:prstGeom prst="rect">
          <a:avLst/>
        </a:prstGeom>
      </xdr:spPr>
    </xdr:pic>
    <xdr:clientData/>
  </xdr:twoCellAnchor>
  <xdr:oneCellAnchor>
    <xdr:from>
      <xdr:col>9</xdr:col>
      <xdr:colOff>411780</xdr:colOff>
      <xdr:row>131</xdr:row>
      <xdr:rowOff>71120</xdr:rowOff>
    </xdr:from>
    <xdr:ext cx="492160" cy="469988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93780" y="24733026"/>
          <a:ext cx="492160" cy="469988"/>
        </a:xfrm>
        <a:prstGeom prst="rect">
          <a:avLst/>
        </a:prstGeom>
      </xdr:spPr>
    </xdr:pic>
    <xdr:clientData/>
  </xdr:oneCellAnchor>
  <xdr:twoCellAnchor>
    <xdr:from>
      <xdr:col>0</xdr:col>
      <xdr:colOff>65315</xdr:colOff>
      <xdr:row>206</xdr:row>
      <xdr:rowOff>43543</xdr:rowOff>
    </xdr:from>
    <xdr:to>
      <xdr:col>12</xdr:col>
      <xdr:colOff>477611</xdr:colOff>
      <xdr:row>211</xdr:row>
      <xdr:rowOff>115231</xdr:rowOff>
    </xdr:to>
    <xdr:sp macro="" textlink="">
      <xdr:nvSpPr>
        <xdr:cNvPr id="30" name="TextBox 29"/>
        <xdr:cNvSpPr txBox="1"/>
      </xdr:nvSpPr>
      <xdr:spPr>
        <a:xfrm>
          <a:off x="65315" y="59250943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365125</xdr:colOff>
      <xdr:row>0</xdr:row>
      <xdr:rowOff>238126</xdr:rowOff>
    </xdr:from>
    <xdr:to>
      <xdr:col>1</xdr:col>
      <xdr:colOff>1193800</xdr:colOff>
      <xdr:row>1</xdr:row>
      <xdr:rowOff>26776</xdr:rowOff>
    </xdr:to>
    <xdr:pic>
      <xdr:nvPicPr>
        <xdr:cNvPr id="34855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5125" y="238126"/>
          <a:ext cx="2670175" cy="46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385232</xdr:colOff>
      <xdr:row>0</xdr:row>
      <xdr:rowOff>241300</xdr:rowOff>
    </xdr:from>
    <xdr:to>
      <xdr:col>20</xdr:col>
      <xdr:colOff>131795</xdr:colOff>
      <xdr:row>2</xdr:row>
      <xdr:rowOff>0</xdr:rowOff>
    </xdr:to>
    <xdr:sp macro="" textlink="">
      <xdr:nvSpPr>
        <xdr:cNvPr id="11" name="TextBox 10">
          <a:hlinkClick xmlns:r="http://schemas.openxmlformats.org/officeDocument/2006/relationships" r:id="rId3"/>
        </xdr:cNvPr>
        <xdr:cNvSpPr txBox="1"/>
      </xdr:nvSpPr>
      <xdr:spPr>
        <a:xfrm>
          <a:off x="15066432" y="241300"/>
          <a:ext cx="1575363" cy="6350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385232</xdr:colOff>
      <xdr:row>3</xdr:row>
      <xdr:rowOff>63500</xdr:rowOff>
    </xdr:from>
    <xdr:to>
      <xdr:col>21</xdr:col>
      <xdr:colOff>469900</xdr:colOff>
      <xdr:row>6</xdr:row>
      <xdr:rowOff>0</xdr:rowOff>
    </xdr:to>
    <xdr:sp macro="" textlink="">
      <xdr:nvSpPr>
        <xdr:cNvPr id="12" name="TextBox 11">
          <a:hlinkClick xmlns:r="http://schemas.openxmlformats.org/officeDocument/2006/relationships" r:id="rId4"/>
        </xdr:cNvPr>
        <xdr:cNvSpPr txBox="1"/>
      </xdr:nvSpPr>
      <xdr:spPr>
        <a:xfrm>
          <a:off x="15066432" y="1181100"/>
          <a:ext cx="2523068" cy="12065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канального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6</xdr:col>
      <xdr:colOff>140492</xdr:colOff>
      <xdr:row>83</xdr:row>
      <xdr:rowOff>0</xdr:rowOff>
    </xdr:from>
    <xdr:to>
      <xdr:col>6</xdr:col>
      <xdr:colOff>804181</xdr:colOff>
      <xdr:row>84</xdr:row>
      <xdr:rowOff>94502</xdr:rowOff>
    </xdr:to>
    <xdr:pic>
      <xdr:nvPicPr>
        <xdr:cNvPr id="9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41317" y="18919031"/>
          <a:ext cx="663689" cy="60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134143</xdr:colOff>
      <xdr:row>6</xdr:row>
      <xdr:rowOff>0</xdr:rowOff>
    </xdr:from>
    <xdr:to>
      <xdr:col>9</xdr:col>
      <xdr:colOff>34244</xdr:colOff>
      <xdr:row>7</xdr:row>
      <xdr:rowOff>95772</xdr:rowOff>
    </xdr:to>
    <xdr:pic>
      <xdr:nvPicPr>
        <xdr:cNvPr id="1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60543" y="2375694"/>
          <a:ext cx="649401" cy="619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193197</xdr:colOff>
      <xdr:row>37</xdr:row>
      <xdr:rowOff>0</xdr:rowOff>
    </xdr:from>
    <xdr:to>
      <xdr:col>9</xdr:col>
      <xdr:colOff>82979</xdr:colOff>
      <xdr:row>38</xdr:row>
      <xdr:rowOff>100852</xdr:rowOff>
    </xdr:to>
    <xdr:pic>
      <xdr:nvPicPr>
        <xdr:cNvPr id="16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53277" y="5654993"/>
          <a:ext cx="672102" cy="619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431799</xdr:colOff>
      <xdr:row>6</xdr:row>
      <xdr:rowOff>228600</xdr:rowOff>
    </xdr:from>
    <xdr:to>
      <xdr:col>15</xdr:col>
      <xdr:colOff>392758</xdr:colOff>
      <xdr:row>7</xdr:row>
      <xdr:rowOff>349250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299" y="2654300"/>
          <a:ext cx="1662759" cy="64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533400</xdr:colOff>
      <xdr:row>37</xdr:row>
      <xdr:rowOff>165100</xdr:rowOff>
    </xdr:from>
    <xdr:to>
      <xdr:col>15</xdr:col>
      <xdr:colOff>447964</xdr:colOff>
      <xdr:row>38</xdr:row>
      <xdr:rowOff>279400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6900" y="4889500"/>
          <a:ext cx="1616364" cy="63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520700</xdr:colOff>
      <xdr:row>83</xdr:row>
      <xdr:rowOff>203200</xdr:rowOff>
    </xdr:from>
    <xdr:to>
      <xdr:col>16</xdr:col>
      <xdr:colOff>75967</xdr:colOff>
      <xdr:row>84</xdr:row>
      <xdr:rowOff>342817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4200" y="9067800"/>
          <a:ext cx="1866667" cy="660317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0</xdr:row>
      <xdr:rowOff>495300</xdr:rowOff>
    </xdr:from>
    <xdr:to>
      <xdr:col>16</xdr:col>
      <xdr:colOff>28575</xdr:colOff>
      <xdr:row>1</xdr:row>
      <xdr:rowOff>86760</xdr:rowOff>
    </xdr:to>
    <xdr:sp macro="" textlink="">
      <xdr:nvSpPr>
        <xdr:cNvPr id="13" name="Прямоугольник 12"/>
        <xdr:cNvSpPr/>
      </xdr:nvSpPr>
      <xdr:spPr>
        <a:xfrm>
          <a:off x="11023600" y="495300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oneCellAnchor>
    <xdr:from>
      <xdr:col>8</xdr:col>
      <xdr:colOff>123983</xdr:colOff>
      <xdr:row>14</xdr:row>
      <xdr:rowOff>143034</xdr:rowOff>
    </xdr:from>
    <xdr:ext cx="682421" cy="613932"/>
    <xdr:pic>
      <xdr:nvPicPr>
        <xdr:cNvPr id="1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84063" y="4694714"/>
          <a:ext cx="682421" cy="613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431799</xdr:colOff>
      <xdr:row>15</xdr:row>
      <xdr:rowOff>228600</xdr:rowOff>
    </xdr:from>
    <xdr:ext cx="1718639" cy="63881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359" y="2667000"/>
          <a:ext cx="1718639" cy="638810"/>
        </a:xfrm>
        <a:prstGeom prst="rect">
          <a:avLst/>
        </a:prstGeom>
      </xdr:spPr>
    </xdr:pic>
    <xdr:clientData/>
  </xdr:oneCellAnchor>
  <xdr:twoCellAnchor>
    <xdr:from>
      <xdr:col>8</xdr:col>
      <xdr:colOff>759568</xdr:colOff>
      <xdr:row>15</xdr:row>
      <xdr:rowOff>30480</xdr:rowOff>
    </xdr:from>
    <xdr:to>
      <xdr:col>9</xdr:col>
      <xdr:colOff>510852</xdr:colOff>
      <xdr:row>16</xdr:row>
      <xdr:rowOff>23494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648" y="4775200"/>
          <a:ext cx="533604" cy="511174"/>
        </a:xfrm>
        <a:prstGeom prst="rect">
          <a:avLst/>
        </a:prstGeom>
      </xdr:spPr>
    </xdr:pic>
    <xdr:clientData/>
  </xdr:twoCellAnchor>
  <xdr:twoCellAnchor editAs="oneCell">
    <xdr:from>
      <xdr:col>7</xdr:col>
      <xdr:colOff>467360</xdr:colOff>
      <xdr:row>15</xdr:row>
      <xdr:rowOff>28090</xdr:rowOff>
    </xdr:from>
    <xdr:to>
      <xdr:col>8</xdr:col>
      <xdr:colOff>176561</xdr:colOff>
      <xdr:row>15</xdr:row>
      <xdr:rowOff>498078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45120" y="4772810"/>
          <a:ext cx="491521" cy="469988"/>
        </a:xfrm>
        <a:prstGeom prst="rect">
          <a:avLst/>
        </a:prstGeom>
      </xdr:spPr>
    </xdr:pic>
    <xdr:clientData/>
  </xdr:twoCellAnchor>
  <xdr:oneCellAnchor>
    <xdr:from>
      <xdr:col>8</xdr:col>
      <xdr:colOff>123983</xdr:colOff>
      <xdr:row>25</xdr:row>
      <xdr:rowOff>143034</xdr:rowOff>
    </xdr:from>
    <xdr:ext cx="682421" cy="613932"/>
    <xdr:pic>
      <xdr:nvPicPr>
        <xdr:cNvPr id="2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84063" y="4694714"/>
          <a:ext cx="682421" cy="613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431799</xdr:colOff>
      <xdr:row>26</xdr:row>
      <xdr:rowOff>228600</xdr:rowOff>
    </xdr:from>
    <xdr:ext cx="1718639" cy="63881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359" y="4973320"/>
          <a:ext cx="1718639" cy="638810"/>
        </a:xfrm>
        <a:prstGeom prst="rect">
          <a:avLst/>
        </a:prstGeom>
      </xdr:spPr>
    </xdr:pic>
    <xdr:clientData/>
  </xdr:oneCellAnchor>
  <xdr:twoCellAnchor>
    <xdr:from>
      <xdr:col>8</xdr:col>
      <xdr:colOff>759568</xdr:colOff>
      <xdr:row>26</xdr:row>
      <xdr:rowOff>30480</xdr:rowOff>
    </xdr:from>
    <xdr:to>
      <xdr:col>9</xdr:col>
      <xdr:colOff>510852</xdr:colOff>
      <xdr:row>27</xdr:row>
      <xdr:rowOff>23494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648" y="4775200"/>
          <a:ext cx="533604" cy="511174"/>
        </a:xfrm>
        <a:prstGeom prst="rect">
          <a:avLst/>
        </a:prstGeom>
      </xdr:spPr>
    </xdr:pic>
    <xdr:clientData/>
  </xdr:twoCellAnchor>
  <xdr:oneCellAnchor>
    <xdr:from>
      <xdr:col>7</xdr:col>
      <xdr:colOff>467360</xdr:colOff>
      <xdr:row>26</xdr:row>
      <xdr:rowOff>28090</xdr:rowOff>
    </xdr:from>
    <xdr:ext cx="491521" cy="469988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45120" y="4772810"/>
          <a:ext cx="491521" cy="469988"/>
        </a:xfrm>
        <a:prstGeom prst="rect">
          <a:avLst/>
        </a:prstGeom>
      </xdr:spPr>
    </xdr:pic>
    <xdr:clientData/>
  </xdr:oneCellAnchor>
  <xdr:oneCellAnchor>
    <xdr:from>
      <xdr:col>8</xdr:col>
      <xdr:colOff>221772</xdr:colOff>
      <xdr:row>55</xdr:row>
      <xdr:rowOff>161925</xdr:rowOff>
    </xdr:from>
    <xdr:ext cx="670832" cy="615202"/>
    <xdr:pic>
      <xdr:nvPicPr>
        <xdr:cNvPr id="2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60897" y="13582650"/>
          <a:ext cx="670832" cy="615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533400</xdr:colOff>
      <xdr:row>56</xdr:row>
      <xdr:rowOff>165100</xdr:rowOff>
    </xdr:from>
    <xdr:ext cx="1667164" cy="62865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9642475"/>
          <a:ext cx="1667164" cy="628650"/>
        </a:xfrm>
        <a:prstGeom prst="rect">
          <a:avLst/>
        </a:prstGeom>
      </xdr:spPr>
    </xdr:pic>
    <xdr:clientData/>
  </xdr:oneCellAnchor>
  <xdr:twoCellAnchor>
    <xdr:from>
      <xdr:col>9</xdr:col>
      <xdr:colOff>26778</xdr:colOff>
      <xdr:row>56</xdr:row>
      <xdr:rowOff>31750</xdr:rowOff>
    </xdr:from>
    <xdr:to>
      <xdr:col>9</xdr:col>
      <xdr:colOff>559112</xdr:colOff>
      <xdr:row>57</xdr:row>
      <xdr:rowOff>24764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6953" y="13642975"/>
          <a:ext cx="532334" cy="507364"/>
        </a:xfrm>
        <a:prstGeom prst="rect">
          <a:avLst/>
        </a:prstGeom>
      </xdr:spPr>
    </xdr:pic>
    <xdr:clientData/>
  </xdr:twoCellAnchor>
  <xdr:oneCellAnchor>
    <xdr:from>
      <xdr:col>7</xdr:col>
      <xdr:colOff>496570</xdr:colOff>
      <xdr:row>56</xdr:row>
      <xdr:rowOff>48410</xdr:rowOff>
    </xdr:from>
    <xdr:ext cx="491521" cy="46998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54645" y="13659635"/>
          <a:ext cx="491521" cy="469988"/>
        </a:xfrm>
        <a:prstGeom prst="rect">
          <a:avLst/>
        </a:prstGeom>
      </xdr:spPr>
    </xdr:pic>
    <xdr:clientData/>
  </xdr:oneCellAnchor>
  <xdr:oneCellAnchor>
    <xdr:from>
      <xdr:col>6</xdr:col>
      <xdr:colOff>130967</xdr:colOff>
      <xdr:row>97</xdr:row>
      <xdr:rowOff>152400</xdr:rowOff>
    </xdr:from>
    <xdr:ext cx="663689" cy="608852"/>
    <xdr:pic>
      <xdr:nvPicPr>
        <xdr:cNvPr id="2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31792" y="22669500"/>
          <a:ext cx="663689" cy="60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520700</xdr:colOff>
      <xdr:row>98</xdr:row>
      <xdr:rowOff>203200</xdr:rowOff>
    </xdr:from>
    <xdr:ext cx="1936517" cy="653967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225" y="19472275"/>
          <a:ext cx="1936517" cy="653967"/>
        </a:xfrm>
        <a:prstGeom prst="rect">
          <a:avLst/>
        </a:prstGeom>
      </xdr:spPr>
    </xdr:pic>
    <xdr:clientData/>
  </xdr:oneCellAnchor>
  <xdr:twoCellAnchor>
    <xdr:from>
      <xdr:col>6</xdr:col>
      <xdr:colOff>731628</xdr:colOff>
      <xdr:row>98</xdr:row>
      <xdr:rowOff>22225</xdr:rowOff>
    </xdr:from>
    <xdr:to>
      <xdr:col>7</xdr:col>
      <xdr:colOff>406712</xdr:colOff>
      <xdr:row>99</xdr:row>
      <xdr:rowOff>15239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2453" y="22729825"/>
          <a:ext cx="532334" cy="507364"/>
        </a:xfrm>
        <a:prstGeom prst="rect">
          <a:avLst/>
        </a:prstGeom>
      </xdr:spPr>
    </xdr:pic>
    <xdr:clientData/>
  </xdr:twoCellAnchor>
  <xdr:oneCellAnchor>
    <xdr:from>
      <xdr:col>5</xdr:col>
      <xdr:colOff>534670</xdr:colOff>
      <xdr:row>98</xdr:row>
      <xdr:rowOff>38885</xdr:rowOff>
    </xdr:from>
    <xdr:ext cx="491521" cy="469988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40145" y="22746485"/>
          <a:ext cx="491521" cy="469988"/>
        </a:xfrm>
        <a:prstGeom prst="rect">
          <a:avLst/>
        </a:prstGeom>
      </xdr:spPr>
    </xdr:pic>
    <xdr:clientData/>
  </xdr:oneCellAnchor>
  <xdr:oneCellAnchor>
    <xdr:from>
      <xdr:col>6</xdr:col>
      <xdr:colOff>130967</xdr:colOff>
      <xdr:row>114</xdr:row>
      <xdr:rowOff>152400</xdr:rowOff>
    </xdr:from>
    <xdr:ext cx="663689" cy="608852"/>
    <xdr:pic>
      <xdr:nvPicPr>
        <xdr:cNvPr id="32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31792" y="26498550"/>
          <a:ext cx="663689" cy="60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520700</xdr:colOff>
      <xdr:row>115</xdr:row>
      <xdr:rowOff>203200</xdr:rowOff>
    </xdr:from>
    <xdr:ext cx="1936517" cy="653967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225" y="20615275"/>
          <a:ext cx="1936517" cy="653967"/>
        </a:xfrm>
        <a:prstGeom prst="rect">
          <a:avLst/>
        </a:prstGeom>
      </xdr:spPr>
    </xdr:pic>
    <xdr:clientData/>
  </xdr:oneCellAnchor>
  <xdr:twoCellAnchor>
    <xdr:from>
      <xdr:col>6</xdr:col>
      <xdr:colOff>731628</xdr:colOff>
      <xdr:row>115</xdr:row>
      <xdr:rowOff>22225</xdr:rowOff>
    </xdr:from>
    <xdr:to>
      <xdr:col>7</xdr:col>
      <xdr:colOff>406712</xdr:colOff>
      <xdr:row>116</xdr:row>
      <xdr:rowOff>15239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2453" y="20434300"/>
          <a:ext cx="532334" cy="507364"/>
        </a:xfrm>
        <a:prstGeom prst="rect">
          <a:avLst/>
        </a:prstGeom>
      </xdr:spPr>
    </xdr:pic>
    <xdr:clientData/>
  </xdr:twoCellAnchor>
  <xdr:oneCellAnchor>
    <xdr:from>
      <xdr:col>5</xdr:col>
      <xdr:colOff>534670</xdr:colOff>
      <xdr:row>115</xdr:row>
      <xdr:rowOff>38885</xdr:rowOff>
    </xdr:from>
    <xdr:ext cx="491521" cy="469988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40145" y="20450960"/>
          <a:ext cx="491521" cy="469988"/>
        </a:xfrm>
        <a:prstGeom prst="rect">
          <a:avLst/>
        </a:prstGeom>
      </xdr:spPr>
    </xdr:pic>
    <xdr:clientData/>
  </xdr:oneCellAnchor>
  <xdr:oneCellAnchor>
    <xdr:from>
      <xdr:col>6</xdr:col>
      <xdr:colOff>540542</xdr:colOff>
      <xdr:row>147</xdr:row>
      <xdr:rowOff>38100</xdr:rowOff>
    </xdr:from>
    <xdr:ext cx="663689" cy="608852"/>
    <xdr:pic>
      <xdr:nvPicPr>
        <xdr:cNvPr id="36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41367" y="33318450"/>
          <a:ext cx="663689" cy="60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</xdr:col>
      <xdr:colOff>283953</xdr:colOff>
      <xdr:row>147</xdr:row>
      <xdr:rowOff>98425</xdr:rowOff>
    </xdr:from>
    <xdr:to>
      <xdr:col>8</xdr:col>
      <xdr:colOff>35237</xdr:colOff>
      <xdr:row>147</xdr:row>
      <xdr:rowOff>605789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2028" y="33378775"/>
          <a:ext cx="532334" cy="507364"/>
        </a:xfrm>
        <a:prstGeom prst="rect">
          <a:avLst/>
        </a:prstGeom>
      </xdr:spPr>
    </xdr:pic>
    <xdr:clientData/>
  </xdr:twoCellAnchor>
  <xdr:oneCellAnchor>
    <xdr:from>
      <xdr:col>6</xdr:col>
      <xdr:colOff>48895</xdr:colOff>
      <xdr:row>147</xdr:row>
      <xdr:rowOff>115085</xdr:rowOff>
    </xdr:from>
    <xdr:ext cx="491521" cy="469988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49720" y="33395435"/>
          <a:ext cx="491521" cy="469988"/>
        </a:xfrm>
        <a:prstGeom prst="rect">
          <a:avLst/>
        </a:prstGeom>
      </xdr:spPr>
    </xdr:pic>
    <xdr:clientData/>
  </xdr:oneCellAnchor>
  <xdr:twoCellAnchor>
    <xdr:from>
      <xdr:col>0</xdr:col>
      <xdr:colOff>54428</xdr:colOff>
      <xdr:row>183</xdr:row>
      <xdr:rowOff>54429</xdr:rowOff>
    </xdr:from>
    <xdr:to>
      <xdr:col>11</xdr:col>
      <xdr:colOff>575581</xdr:colOff>
      <xdr:row>188</xdr:row>
      <xdr:rowOff>126117</xdr:rowOff>
    </xdr:to>
    <xdr:sp macro="" textlink="">
      <xdr:nvSpPr>
        <xdr:cNvPr id="39" name="TextBox 38"/>
        <xdr:cNvSpPr txBox="1"/>
      </xdr:nvSpPr>
      <xdr:spPr>
        <a:xfrm>
          <a:off x="54428" y="49116343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312965</xdr:colOff>
      <xdr:row>12</xdr:row>
      <xdr:rowOff>195761</xdr:rowOff>
    </xdr:from>
    <xdr:to>
      <xdr:col>15</xdr:col>
      <xdr:colOff>492579</xdr:colOff>
      <xdr:row>13</xdr:row>
      <xdr:rowOff>305139</xdr:rowOff>
    </xdr:to>
    <xdr:pic>
      <xdr:nvPicPr>
        <xdr:cNvPr id="349579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83786" y="4359547"/>
          <a:ext cx="2071007" cy="612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473533</xdr:colOff>
      <xdr:row>2</xdr:row>
      <xdr:rowOff>204107</xdr:rowOff>
    </xdr:from>
    <xdr:to>
      <xdr:col>22</xdr:col>
      <xdr:colOff>353786</xdr:colOff>
      <xdr:row>6</xdr:row>
      <xdr:rowOff>0</xdr:rowOff>
    </xdr:to>
    <xdr:sp macro="" textlink="">
      <xdr:nvSpPr>
        <xdr:cNvPr id="13" name="TextBox 12">
          <a:hlinkClick xmlns:r="http://schemas.openxmlformats.org/officeDocument/2006/relationships" r:id="rId2"/>
        </xdr:cNvPr>
        <xdr:cNvSpPr txBox="1"/>
      </xdr:nvSpPr>
      <xdr:spPr>
        <a:xfrm>
          <a:off x="15060390" y="1088571"/>
          <a:ext cx="2941860" cy="11974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200"/>
            </a:lnSpc>
          </a:pP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универсального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412298</xdr:colOff>
      <xdr:row>0</xdr:row>
      <xdr:rowOff>249010</xdr:rowOff>
    </xdr:from>
    <xdr:to>
      <xdr:col>2</xdr:col>
      <xdr:colOff>122466</xdr:colOff>
      <xdr:row>1</xdr:row>
      <xdr:rowOff>24969</xdr:rowOff>
    </xdr:to>
    <xdr:pic>
      <xdr:nvPicPr>
        <xdr:cNvPr id="349581" name="Рисунок 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2298" y="249010"/>
          <a:ext cx="2635704" cy="456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477761</xdr:colOff>
      <xdr:row>0</xdr:row>
      <xdr:rowOff>285750</xdr:rowOff>
    </xdr:from>
    <xdr:to>
      <xdr:col>20</xdr:col>
      <xdr:colOff>221603</xdr:colOff>
      <xdr:row>2</xdr:row>
      <xdr:rowOff>0</xdr:rowOff>
    </xdr:to>
    <xdr:sp macro="" textlink="">
      <xdr:nvSpPr>
        <xdr:cNvPr id="16" name="TextBox 15">
          <a:hlinkClick xmlns:r="http://schemas.openxmlformats.org/officeDocument/2006/relationships" r:id="rId5"/>
        </xdr:cNvPr>
        <xdr:cNvSpPr txBox="1"/>
      </xdr:nvSpPr>
      <xdr:spPr>
        <a:xfrm>
          <a:off x="15064618" y="285750"/>
          <a:ext cx="1580806" cy="59871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8</xdr:col>
      <xdr:colOff>107156</xdr:colOff>
      <xdr:row>11</xdr:row>
      <xdr:rowOff>142875</xdr:rowOff>
    </xdr:from>
    <xdr:to>
      <xdr:col>8</xdr:col>
      <xdr:colOff>756557</xdr:colOff>
      <xdr:row>13</xdr:row>
      <xdr:rowOff>74498</xdr:rowOff>
    </xdr:to>
    <xdr:pic>
      <xdr:nvPicPr>
        <xdr:cNvPr id="9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27156" y="4095750"/>
          <a:ext cx="649401" cy="622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557214</xdr:colOff>
      <xdr:row>6</xdr:row>
      <xdr:rowOff>0</xdr:rowOff>
    </xdr:from>
    <xdr:to>
      <xdr:col>10</xdr:col>
      <xdr:colOff>611302</xdr:colOff>
      <xdr:row>7</xdr:row>
      <xdr:rowOff>103755</xdr:rowOff>
    </xdr:to>
    <xdr:pic>
      <xdr:nvPicPr>
        <xdr:cNvPr id="1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046370" y="2390775"/>
          <a:ext cx="649401" cy="622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585108</xdr:colOff>
      <xdr:row>6</xdr:row>
      <xdr:rowOff>146909</xdr:rowOff>
    </xdr:from>
    <xdr:to>
      <xdr:col>15</xdr:col>
      <xdr:colOff>231322</xdr:colOff>
      <xdr:row>7</xdr:row>
      <xdr:rowOff>178253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5929" y="2582588"/>
          <a:ext cx="1537607" cy="562022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0</xdr:row>
      <xdr:rowOff>489857</xdr:rowOff>
    </xdr:from>
    <xdr:to>
      <xdr:col>16</xdr:col>
      <xdr:colOff>61232</xdr:colOff>
      <xdr:row>1</xdr:row>
      <xdr:rowOff>79503</xdr:rowOff>
    </xdr:to>
    <xdr:sp macro="" textlink="">
      <xdr:nvSpPr>
        <xdr:cNvPr id="11" name="Прямоугольник 10"/>
        <xdr:cNvSpPr/>
      </xdr:nvSpPr>
      <xdr:spPr>
        <a:xfrm>
          <a:off x="11511643" y="489857"/>
          <a:ext cx="290784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twoCellAnchor>
    <xdr:from>
      <xdr:col>0</xdr:col>
      <xdr:colOff>54428</xdr:colOff>
      <xdr:row>46</xdr:row>
      <xdr:rowOff>32657</xdr:rowOff>
    </xdr:from>
    <xdr:to>
      <xdr:col>11</xdr:col>
      <xdr:colOff>869496</xdr:colOff>
      <xdr:row>51</xdr:row>
      <xdr:rowOff>104346</xdr:rowOff>
    </xdr:to>
    <xdr:sp macro="" textlink="">
      <xdr:nvSpPr>
        <xdr:cNvPr id="12" name="TextBox 11"/>
        <xdr:cNvSpPr txBox="1"/>
      </xdr:nvSpPr>
      <xdr:spPr>
        <a:xfrm>
          <a:off x="54428" y="1767840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235403</xdr:rowOff>
    </xdr:from>
    <xdr:to>
      <xdr:col>1</xdr:col>
      <xdr:colOff>1401536</xdr:colOff>
      <xdr:row>1</xdr:row>
      <xdr:rowOff>33344</xdr:rowOff>
    </xdr:to>
    <xdr:pic>
      <xdr:nvPicPr>
        <xdr:cNvPr id="91441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235403"/>
          <a:ext cx="2567668" cy="478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272142</xdr:rowOff>
    </xdr:from>
    <xdr:to>
      <xdr:col>21</xdr:col>
      <xdr:colOff>88253</xdr:colOff>
      <xdr:row>1</xdr:row>
      <xdr:rowOff>204106</xdr:rowOff>
    </xdr:to>
    <xdr:sp macro="" textlink="">
      <xdr:nvSpPr>
        <xdr:cNvPr id="10" name="TextBox 9">
          <a:hlinkClick xmlns:r="http://schemas.openxmlformats.org/officeDocument/2006/relationships" r:id="rId3"/>
        </xdr:cNvPr>
        <xdr:cNvSpPr txBox="1"/>
      </xdr:nvSpPr>
      <xdr:spPr>
        <a:xfrm>
          <a:off x="14578843" y="272142"/>
          <a:ext cx="1361731" cy="6123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 i="0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i="0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11</xdr:col>
      <xdr:colOff>583404</xdr:colOff>
      <xdr:row>16</xdr:row>
      <xdr:rowOff>83343</xdr:rowOff>
    </xdr:from>
    <xdr:to>
      <xdr:col>13</xdr:col>
      <xdr:colOff>143622</xdr:colOff>
      <xdr:row>18</xdr:row>
      <xdr:rowOff>380511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0904" y="4822031"/>
          <a:ext cx="1620000" cy="1071074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23811</xdr:colOff>
      <xdr:row>31</xdr:row>
      <xdr:rowOff>107156</xdr:rowOff>
    </xdr:from>
    <xdr:to>
      <xdr:col>13</xdr:col>
      <xdr:colOff>166687</xdr:colOff>
      <xdr:row>32</xdr:row>
      <xdr:rowOff>327762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49" y="8096250"/>
          <a:ext cx="1559719" cy="601606"/>
        </a:xfrm>
        <a:prstGeom prst="rect">
          <a:avLst/>
        </a:prstGeom>
      </xdr:spPr>
    </xdr:pic>
    <xdr:clientData/>
  </xdr:twoCellAnchor>
  <xdr:twoCellAnchor editAs="oneCell">
    <xdr:from>
      <xdr:col>11</xdr:col>
      <xdr:colOff>631031</xdr:colOff>
      <xdr:row>39</xdr:row>
      <xdr:rowOff>71437</xdr:rowOff>
    </xdr:from>
    <xdr:to>
      <xdr:col>13</xdr:col>
      <xdr:colOff>142874</xdr:colOff>
      <xdr:row>40</xdr:row>
      <xdr:rowOff>264893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8531" y="10394156"/>
          <a:ext cx="1571625" cy="57445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2</xdr:row>
      <xdr:rowOff>185057</xdr:rowOff>
    </xdr:from>
    <xdr:to>
      <xdr:col>23</xdr:col>
      <xdr:colOff>97972</xdr:colOff>
      <xdr:row>6</xdr:row>
      <xdr:rowOff>185057</xdr:rowOff>
    </xdr:to>
    <xdr:sp macro="" textlink="">
      <xdr:nvSpPr>
        <xdr:cNvPr id="8" name="TextBox 7">
          <a:hlinkClick xmlns:r="http://schemas.openxmlformats.org/officeDocument/2006/relationships" r:id="rId7"/>
        </xdr:cNvPr>
        <xdr:cNvSpPr txBox="1"/>
      </xdr:nvSpPr>
      <xdr:spPr>
        <a:xfrm>
          <a:off x="14848115" y="1055914"/>
          <a:ext cx="2427514" cy="10450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Big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b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</a:b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10</xdr:col>
      <xdr:colOff>612321</xdr:colOff>
      <xdr:row>0</xdr:row>
      <xdr:rowOff>544286</xdr:rowOff>
    </xdr:from>
    <xdr:to>
      <xdr:col>13</xdr:col>
      <xdr:colOff>537481</xdr:colOff>
      <xdr:row>1</xdr:row>
      <xdr:rowOff>133932</xdr:rowOff>
    </xdr:to>
    <xdr:sp macro="" textlink="">
      <xdr:nvSpPr>
        <xdr:cNvPr id="9" name="Прямоугольник 8"/>
        <xdr:cNvSpPr/>
      </xdr:nvSpPr>
      <xdr:spPr>
        <a:xfrm>
          <a:off x="10942864" y="544286"/>
          <a:ext cx="2886074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апреля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2020 года</a:t>
          </a:r>
        </a:p>
      </xdr:txBody>
    </xdr:sp>
    <xdr:clientData/>
  </xdr:twoCellAnchor>
  <xdr:twoCellAnchor>
    <xdr:from>
      <xdr:col>0</xdr:col>
      <xdr:colOff>30480</xdr:colOff>
      <xdr:row>66</xdr:row>
      <xdr:rowOff>81280</xdr:rowOff>
    </xdr:from>
    <xdr:to>
      <xdr:col>10</xdr:col>
      <xdr:colOff>484142</xdr:colOff>
      <xdr:row>71</xdr:row>
      <xdr:rowOff>105797</xdr:rowOff>
    </xdr:to>
    <xdr:sp macro="" textlink="">
      <xdr:nvSpPr>
        <xdr:cNvPr id="11" name="TextBox 10"/>
        <xdr:cNvSpPr txBox="1"/>
      </xdr:nvSpPr>
      <xdr:spPr>
        <a:xfrm>
          <a:off x="30480" y="2227072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426246</xdr:colOff>
      <xdr:row>0</xdr:row>
      <xdr:rowOff>247651</xdr:rowOff>
    </xdr:from>
    <xdr:to>
      <xdr:col>1</xdr:col>
      <xdr:colOff>1107282</xdr:colOff>
      <xdr:row>1</xdr:row>
      <xdr:rowOff>210180</xdr:rowOff>
    </xdr:to>
    <xdr:pic>
      <xdr:nvPicPr>
        <xdr:cNvPr id="3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246" y="247651"/>
          <a:ext cx="2639376" cy="442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908</xdr:colOff>
      <xdr:row>5</xdr:row>
      <xdr:rowOff>392907</xdr:rowOff>
    </xdr:from>
    <xdr:to>
      <xdr:col>1</xdr:col>
      <xdr:colOff>707571</xdr:colOff>
      <xdr:row>7</xdr:row>
      <xdr:rowOff>69035</xdr:rowOff>
    </xdr:to>
    <xdr:pic>
      <xdr:nvPicPr>
        <xdr:cNvPr id="4" name="Рисунок 71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9248" y="2008347"/>
          <a:ext cx="706663" cy="666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1875065</xdr:colOff>
      <xdr:row>15</xdr:row>
      <xdr:rowOff>2</xdr:rowOff>
    </xdr:from>
    <xdr:to>
      <xdr:col>1</xdr:col>
      <xdr:colOff>571500</xdr:colOff>
      <xdr:row>16</xdr:row>
      <xdr:rowOff>27215</xdr:rowOff>
    </xdr:to>
    <xdr:pic>
      <xdr:nvPicPr>
        <xdr:cNvPr id="5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75065" y="4274822"/>
          <a:ext cx="654775" cy="537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446317</xdr:colOff>
      <xdr:row>24</xdr:row>
      <xdr:rowOff>27215</xdr:rowOff>
    </xdr:from>
    <xdr:ext cx="650766" cy="585107"/>
    <xdr:pic>
      <xdr:nvPicPr>
        <xdr:cNvPr id="6" name="Рисунок 72" descr="C:\Users\YulyGM\Desktop\Management\General\Бренд_информация\Элементы фирменного стиля\иконки\Klass-A_++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04657" y="6443255"/>
          <a:ext cx="650766" cy="585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1847852</xdr:colOff>
      <xdr:row>24</xdr:row>
      <xdr:rowOff>27214</xdr:rowOff>
    </xdr:from>
    <xdr:ext cx="615042" cy="595888"/>
    <xdr:pic>
      <xdr:nvPicPr>
        <xdr:cNvPr id="7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7852" y="6443254"/>
          <a:ext cx="615042" cy="595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508566</xdr:colOff>
      <xdr:row>14</xdr:row>
      <xdr:rowOff>103754</xdr:rowOff>
    </xdr:from>
    <xdr:to>
      <xdr:col>16</xdr:col>
      <xdr:colOff>186516</xdr:colOff>
      <xdr:row>17</xdr:row>
      <xdr:rowOff>242305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0926" y="4195694"/>
          <a:ext cx="2101110" cy="1060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573201</xdr:colOff>
      <xdr:row>23</xdr:row>
      <xdr:rowOff>178594</xdr:rowOff>
    </xdr:from>
    <xdr:to>
      <xdr:col>16</xdr:col>
      <xdr:colOff>251151</xdr:colOff>
      <xdr:row>26</xdr:row>
      <xdr:rowOff>40836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5561" y="6411754"/>
          <a:ext cx="2101110" cy="883322"/>
        </a:xfrm>
        <a:prstGeom prst="rect">
          <a:avLst/>
        </a:prstGeom>
      </xdr:spPr>
    </xdr:pic>
    <xdr:clientData/>
  </xdr:twoCellAnchor>
  <xdr:twoCellAnchor editAs="oneCell">
    <xdr:from>
      <xdr:col>9</xdr:col>
      <xdr:colOff>340178</xdr:colOff>
      <xdr:row>30</xdr:row>
      <xdr:rowOff>184715</xdr:rowOff>
    </xdr:from>
    <xdr:to>
      <xdr:col>10</xdr:col>
      <xdr:colOff>393567</xdr:colOff>
      <xdr:row>32</xdr:row>
      <xdr:rowOff>39120</xdr:rowOff>
    </xdr:to>
    <xdr:pic>
      <xdr:nvPicPr>
        <xdr:cNvPr id="10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05998" y="8239055"/>
          <a:ext cx="662989" cy="631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</xdr:row>
      <xdr:rowOff>123485</xdr:rowOff>
    </xdr:from>
    <xdr:to>
      <xdr:col>10</xdr:col>
      <xdr:colOff>32998</xdr:colOff>
      <xdr:row>46</xdr:row>
      <xdr:rowOff>54428</xdr:rowOff>
    </xdr:to>
    <xdr:pic>
      <xdr:nvPicPr>
        <xdr:cNvPr id="11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65820" y="11370605"/>
          <a:ext cx="642598" cy="677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90713</xdr:colOff>
      <xdr:row>30</xdr:row>
      <xdr:rowOff>71664</xdr:rowOff>
    </xdr:from>
    <xdr:to>
      <xdr:col>15</xdr:col>
      <xdr:colOff>537392</xdr:colOff>
      <xdr:row>33</xdr:row>
      <xdr:rowOff>74616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5553" y="8126004"/>
          <a:ext cx="1467759" cy="1100232"/>
        </a:xfrm>
        <a:prstGeom prst="rect">
          <a:avLst/>
        </a:prstGeom>
      </xdr:spPr>
    </xdr:pic>
    <xdr:clientData/>
  </xdr:twoCellAnchor>
  <xdr:twoCellAnchor editAs="oneCell">
    <xdr:from>
      <xdr:col>14</xdr:col>
      <xdr:colOff>118835</xdr:colOff>
      <xdr:row>44</xdr:row>
      <xdr:rowOff>141514</xdr:rowOff>
    </xdr:from>
    <xdr:to>
      <xdr:col>15</xdr:col>
      <xdr:colOff>565514</xdr:colOff>
      <xdr:row>47</xdr:row>
      <xdr:rowOff>94011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3675" y="11388634"/>
          <a:ext cx="1467759" cy="1164077"/>
        </a:xfrm>
        <a:prstGeom prst="rect">
          <a:avLst/>
        </a:prstGeom>
      </xdr:spPr>
    </xdr:pic>
    <xdr:clientData/>
  </xdr:twoCellAnchor>
  <xdr:twoCellAnchor editAs="oneCell">
    <xdr:from>
      <xdr:col>6</xdr:col>
      <xdr:colOff>83343</xdr:colOff>
      <xdr:row>76</xdr:row>
      <xdr:rowOff>181995</xdr:rowOff>
    </xdr:from>
    <xdr:to>
      <xdr:col>6</xdr:col>
      <xdr:colOff>730703</xdr:colOff>
      <xdr:row>78</xdr:row>
      <xdr:rowOff>68036</xdr:rowOff>
    </xdr:to>
    <xdr:pic>
      <xdr:nvPicPr>
        <xdr:cNvPr id="14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33623" y="18736695"/>
          <a:ext cx="647360" cy="594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507092</xdr:colOff>
      <xdr:row>77</xdr:row>
      <xdr:rowOff>26307</xdr:rowOff>
    </xdr:from>
    <xdr:to>
      <xdr:col>16</xdr:col>
      <xdr:colOff>5209</xdr:colOff>
      <xdr:row>78</xdr:row>
      <xdr:rowOff>367392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9452" y="18771507"/>
          <a:ext cx="1921277" cy="859245"/>
        </a:xfrm>
        <a:prstGeom prst="rect">
          <a:avLst/>
        </a:prstGeom>
      </xdr:spPr>
    </xdr:pic>
    <xdr:clientData/>
  </xdr:twoCellAnchor>
  <xdr:twoCellAnchor editAs="oneCell">
    <xdr:from>
      <xdr:col>13</xdr:col>
      <xdr:colOff>549399</xdr:colOff>
      <xdr:row>109</xdr:row>
      <xdr:rowOff>18869</xdr:rowOff>
    </xdr:from>
    <xdr:to>
      <xdr:col>16</xdr:col>
      <xdr:colOff>227349</xdr:colOff>
      <xdr:row>110</xdr:row>
      <xdr:rowOff>421823</xdr:rowOff>
    </xdr:to>
    <xdr:pic>
      <xdr:nvPicPr>
        <xdr:cNvPr id="16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759" y="26064029"/>
          <a:ext cx="2101110" cy="905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108</xdr:row>
      <xdr:rowOff>142875</xdr:rowOff>
    </xdr:from>
    <xdr:to>
      <xdr:col>10</xdr:col>
      <xdr:colOff>37080</xdr:colOff>
      <xdr:row>110</xdr:row>
      <xdr:rowOff>68036</xdr:rowOff>
    </xdr:to>
    <xdr:pic>
      <xdr:nvPicPr>
        <xdr:cNvPr id="17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65820" y="25997535"/>
          <a:ext cx="646680" cy="618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285070</xdr:colOff>
      <xdr:row>102</xdr:row>
      <xdr:rowOff>179273</xdr:rowOff>
    </xdr:from>
    <xdr:to>
      <xdr:col>12</xdr:col>
      <xdr:colOff>184036</xdr:colOff>
      <xdr:row>104</xdr:row>
      <xdr:rowOff>54427</xdr:rowOff>
    </xdr:to>
    <xdr:pic>
      <xdr:nvPicPr>
        <xdr:cNvPr id="18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70090" y="24319433"/>
          <a:ext cx="660966" cy="583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557894</xdr:colOff>
      <xdr:row>103</xdr:row>
      <xdr:rowOff>78875</xdr:rowOff>
    </xdr:from>
    <xdr:to>
      <xdr:col>16</xdr:col>
      <xdr:colOff>235844</xdr:colOff>
      <xdr:row>104</xdr:row>
      <xdr:rowOff>367394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254" y="24409535"/>
          <a:ext cx="2101110" cy="806679"/>
        </a:xfrm>
        <a:prstGeom prst="rect">
          <a:avLst/>
        </a:prstGeom>
      </xdr:spPr>
    </xdr:pic>
    <xdr:clientData/>
  </xdr:twoCellAnchor>
  <xdr:twoCellAnchor>
    <xdr:from>
      <xdr:col>17</xdr:col>
      <xdr:colOff>345282</xdr:colOff>
      <xdr:row>0</xdr:row>
      <xdr:rowOff>250030</xdr:rowOff>
    </xdr:from>
    <xdr:to>
      <xdr:col>20</xdr:col>
      <xdr:colOff>94227</xdr:colOff>
      <xdr:row>1</xdr:row>
      <xdr:rowOff>397631</xdr:rowOff>
    </xdr:to>
    <xdr:sp macro="" textlink="">
      <xdr:nvSpPr>
        <xdr:cNvPr id="20" name="TextBox 19">
          <a:hlinkClick xmlns:r="http://schemas.openxmlformats.org/officeDocument/2006/relationships" r:id="rId11"/>
        </xdr:cNvPr>
        <xdr:cNvSpPr txBox="1"/>
      </xdr:nvSpPr>
      <xdr:spPr>
        <a:xfrm>
          <a:off x="14640402" y="250030"/>
          <a:ext cx="1577745" cy="62766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10</xdr:col>
      <xdr:colOff>204108</xdr:colOff>
      <xdr:row>67</xdr:row>
      <xdr:rowOff>160905</xdr:rowOff>
    </xdr:from>
    <xdr:to>
      <xdr:col>11</xdr:col>
      <xdr:colOff>244362</xdr:colOff>
      <xdr:row>69</xdr:row>
      <xdr:rowOff>40822</xdr:rowOff>
    </xdr:to>
    <xdr:pic>
      <xdr:nvPicPr>
        <xdr:cNvPr id="22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79528" y="16429605"/>
          <a:ext cx="649854" cy="588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608692</xdr:colOff>
      <xdr:row>67</xdr:row>
      <xdr:rowOff>160564</xdr:rowOff>
    </xdr:from>
    <xdr:to>
      <xdr:col>15</xdr:col>
      <xdr:colOff>512502</xdr:colOff>
      <xdr:row>70</xdr:row>
      <xdr:rowOff>27214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1052" y="16429264"/>
          <a:ext cx="1717370" cy="95631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0</xdr:row>
      <xdr:rowOff>440531</xdr:rowOff>
    </xdr:from>
    <xdr:to>
      <xdr:col>16</xdr:col>
      <xdr:colOff>35719</xdr:colOff>
      <xdr:row>1</xdr:row>
      <xdr:rowOff>228841</xdr:rowOff>
    </xdr:to>
    <xdr:sp macro="" textlink="">
      <xdr:nvSpPr>
        <xdr:cNvPr id="24" name="Прямоугольник 23"/>
        <xdr:cNvSpPr/>
      </xdr:nvSpPr>
      <xdr:spPr>
        <a:xfrm>
          <a:off x="10828020" y="440531"/>
          <a:ext cx="2893219" cy="26837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twoCellAnchor editAs="oneCell">
    <xdr:from>
      <xdr:col>13</xdr:col>
      <xdr:colOff>371475</xdr:colOff>
      <xdr:row>6</xdr:row>
      <xdr:rowOff>238125</xdr:rowOff>
    </xdr:from>
    <xdr:to>
      <xdr:col>16</xdr:col>
      <xdr:colOff>61883</xdr:colOff>
      <xdr:row>8</xdr:row>
      <xdr:rowOff>290513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3835" y="2272665"/>
          <a:ext cx="2113568" cy="85248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125</xdr:row>
      <xdr:rowOff>38100</xdr:rowOff>
    </xdr:from>
    <xdr:to>
      <xdr:col>12</xdr:col>
      <xdr:colOff>413657</xdr:colOff>
      <xdr:row>130</xdr:row>
      <xdr:rowOff>68967</xdr:rowOff>
    </xdr:to>
    <xdr:sp macro="" textlink="">
      <xdr:nvSpPr>
        <xdr:cNvPr id="26" name="TextBox 25"/>
        <xdr:cNvSpPr txBox="1"/>
      </xdr:nvSpPr>
      <xdr:spPr>
        <a:xfrm>
          <a:off x="85725" y="2947035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357869</xdr:colOff>
      <xdr:row>0</xdr:row>
      <xdr:rowOff>249011</xdr:rowOff>
    </xdr:from>
    <xdr:to>
      <xdr:col>1</xdr:col>
      <xdr:colOff>1469572</xdr:colOff>
      <xdr:row>1</xdr:row>
      <xdr:rowOff>89128</xdr:rowOff>
    </xdr:to>
    <xdr:pic>
      <xdr:nvPicPr>
        <xdr:cNvPr id="350904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869" y="249011"/>
          <a:ext cx="2907846" cy="520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436939</xdr:colOff>
      <xdr:row>0</xdr:row>
      <xdr:rowOff>231320</xdr:rowOff>
    </xdr:from>
    <xdr:to>
      <xdr:col>21</xdr:col>
      <xdr:colOff>273309</xdr:colOff>
      <xdr:row>1</xdr:row>
      <xdr:rowOff>204106</xdr:rowOff>
    </xdr:to>
    <xdr:sp macro="" textlink="">
      <xdr:nvSpPr>
        <xdr:cNvPr id="16" name="TextBox 15">
          <a:hlinkClick xmlns:r="http://schemas.openxmlformats.org/officeDocument/2006/relationships" r:id="rId3"/>
        </xdr:cNvPr>
        <xdr:cNvSpPr txBox="1"/>
      </xdr:nvSpPr>
      <xdr:spPr>
        <a:xfrm>
          <a:off x="15908260" y="231320"/>
          <a:ext cx="1333156" cy="653143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459922</xdr:colOff>
      <xdr:row>2</xdr:row>
      <xdr:rowOff>180109</xdr:rowOff>
    </xdr:from>
    <xdr:to>
      <xdr:col>23</xdr:col>
      <xdr:colOff>346364</xdr:colOff>
      <xdr:row>6</xdr:row>
      <xdr:rowOff>304800</xdr:rowOff>
    </xdr:to>
    <xdr:sp macro="" textlink="">
      <xdr:nvSpPr>
        <xdr:cNvPr id="17" name="TextBox 16">
          <a:hlinkClick xmlns:r="http://schemas.openxmlformats.org/officeDocument/2006/relationships" r:id="rId4"/>
        </xdr:cNvPr>
        <xdr:cNvSpPr txBox="1"/>
      </xdr:nvSpPr>
      <xdr:spPr>
        <a:xfrm>
          <a:off x="16392649" y="1039091"/>
          <a:ext cx="2671206" cy="110836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ct val="100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свободной компоновки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Flexible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802822</xdr:colOff>
      <xdr:row>16</xdr:row>
      <xdr:rowOff>100364</xdr:rowOff>
    </xdr:from>
    <xdr:to>
      <xdr:col>16</xdr:col>
      <xdr:colOff>27215</xdr:colOff>
      <xdr:row>17</xdr:row>
      <xdr:rowOff>268060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0393" y="6305221"/>
          <a:ext cx="1660072" cy="698375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816430</xdr:colOff>
      <xdr:row>35</xdr:row>
      <xdr:rowOff>53304</xdr:rowOff>
    </xdr:from>
    <xdr:to>
      <xdr:col>15</xdr:col>
      <xdr:colOff>517071</xdr:colOff>
      <xdr:row>36</xdr:row>
      <xdr:rowOff>326572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1" y="8312840"/>
          <a:ext cx="1442356" cy="953624"/>
        </a:xfrm>
        <a:prstGeom prst="rect">
          <a:avLst/>
        </a:prstGeom>
      </xdr:spPr>
    </xdr:pic>
    <xdr:clientData/>
  </xdr:twoCellAnchor>
  <xdr:twoCellAnchor editAs="oneCell">
    <xdr:from>
      <xdr:col>13</xdr:col>
      <xdr:colOff>843644</xdr:colOff>
      <xdr:row>47</xdr:row>
      <xdr:rowOff>94862</xdr:rowOff>
    </xdr:from>
    <xdr:to>
      <xdr:col>16</xdr:col>
      <xdr:colOff>95251</xdr:colOff>
      <xdr:row>48</xdr:row>
      <xdr:rowOff>214993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1215" y="11320755"/>
          <a:ext cx="1687286" cy="650810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13607</xdr:colOff>
      <xdr:row>54</xdr:row>
      <xdr:rowOff>51380</xdr:rowOff>
    </xdr:from>
    <xdr:to>
      <xdr:col>16</xdr:col>
      <xdr:colOff>136071</xdr:colOff>
      <xdr:row>55</xdr:row>
      <xdr:rowOff>287112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2036" y="13141451"/>
          <a:ext cx="1687285" cy="616732"/>
        </a:xfrm>
        <a:prstGeom prst="rect">
          <a:avLst/>
        </a:prstGeom>
      </xdr:spPr>
    </xdr:pic>
    <xdr:clientData/>
  </xdr:twoCellAnchor>
  <xdr:twoCellAnchor editAs="oneCell">
    <xdr:from>
      <xdr:col>13</xdr:col>
      <xdr:colOff>585108</xdr:colOff>
      <xdr:row>24</xdr:row>
      <xdr:rowOff>2382</xdr:rowOff>
    </xdr:from>
    <xdr:to>
      <xdr:col>15</xdr:col>
      <xdr:colOff>598714</xdr:colOff>
      <xdr:row>25</xdr:row>
      <xdr:rowOff>387206</xdr:rowOff>
    </xdr:to>
    <xdr:pic>
      <xdr:nvPicPr>
        <xdr:cNvPr id="14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8261918"/>
          <a:ext cx="1755321" cy="969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139474</xdr:colOff>
      <xdr:row>29</xdr:row>
      <xdr:rowOff>149678</xdr:rowOff>
    </xdr:from>
    <xdr:to>
      <xdr:col>15</xdr:col>
      <xdr:colOff>217715</xdr:colOff>
      <xdr:row>32</xdr:row>
      <xdr:rowOff>134681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7974" y="10055678"/>
          <a:ext cx="949098" cy="937503"/>
        </a:xfrm>
        <a:prstGeom prst="rect">
          <a:avLst/>
        </a:prstGeom>
      </xdr:spPr>
    </xdr:pic>
    <xdr:clientData/>
  </xdr:twoCellAnchor>
  <xdr:twoCellAnchor>
    <xdr:from>
      <xdr:col>12</xdr:col>
      <xdr:colOff>585107</xdr:colOff>
      <xdr:row>0</xdr:row>
      <xdr:rowOff>476250</xdr:rowOff>
    </xdr:from>
    <xdr:to>
      <xdr:col>16</xdr:col>
      <xdr:colOff>47625</xdr:colOff>
      <xdr:row>1</xdr:row>
      <xdr:rowOff>65896</xdr:rowOff>
    </xdr:to>
    <xdr:sp macro="" textlink="">
      <xdr:nvSpPr>
        <xdr:cNvPr id="12" name="Прямоугольник 11"/>
        <xdr:cNvSpPr/>
      </xdr:nvSpPr>
      <xdr:spPr>
        <a:xfrm>
          <a:off x="12102193" y="476250"/>
          <a:ext cx="2902403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1 апреля 2020 года</a:t>
          </a:r>
        </a:p>
      </xdr:txBody>
    </xdr:sp>
    <xdr:clientData/>
  </xdr:twoCellAnchor>
  <xdr:oneCellAnchor>
    <xdr:from>
      <xdr:col>7</xdr:col>
      <xdr:colOff>244451</xdr:colOff>
      <xdr:row>59</xdr:row>
      <xdr:rowOff>163286</xdr:rowOff>
    </xdr:from>
    <xdr:ext cx="682421" cy="613932"/>
    <xdr:pic>
      <xdr:nvPicPr>
        <xdr:cNvPr id="15" name="Picture 3" descr="C:\Users\YulyGM\Desktop\Management\General\Бренд_информация\Элементы фирменного стиля\иконки\All-DC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29765" y="17526000"/>
          <a:ext cx="682421" cy="613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9179</xdr:colOff>
      <xdr:row>60</xdr:row>
      <xdr:rowOff>18075</xdr:rowOff>
    </xdr:from>
    <xdr:to>
      <xdr:col>8</xdr:col>
      <xdr:colOff>533349</xdr:colOff>
      <xdr:row>61</xdr:row>
      <xdr:rowOff>21974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579" y="17576732"/>
          <a:ext cx="524170" cy="515528"/>
        </a:xfrm>
        <a:prstGeom prst="rect">
          <a:avLst/>
        </a:prstGeom>
      </xdr:spPr>
    </xdr:pic>
    <xdr:clientData/>
  </xdr:twoCellAnchor>
  <xdr:twoCellAnchor editAs="oneCell">
    <xdr:from>
      <xdr:col>6</xdr:col>
      <xdr:colOff>751114</xdr:colOff>
      <xdr:row>60</xdr:row>
      <xdr:rowOff>26571</xdr:rowOff>
    </xdr:from>
    <xdr:to>
      <xdr:col>7</xdr:col>
      <xdr:colOff>297029</xdr:colOff>
      <xdr:row>60</xdr:row>
      <xdr:rowOff>496559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00257" y="17585228"/>
          <a:ext cx="482086" cy="469988"/>
        </a:xfrm>
        <a:prstGeom prst="rect">
          <a:avLst/>
        </a:prstGeom>
      </xdr:spPr>
    </xdr:pic>
    <xdr:clientData/>
  </xdr:twoCellAnchor>
  <xdr:twoCellAnchor editAs="oneCell">
    <xdr:from>
      <xdr:col>13</xdr:col>
      <xdr:colOff>794658</xdr:colOff>
      <xdr:row>64</xdr:row>
      <xdr:rowOff>40686</xdr:rowOff>
    </xdr:from>
    <xdr:to>
      <xdr:col>16</xdr:col>
      <xdr:colOff>54429</xdr:colOff>
      <xdr:row>66</xdr:row>
      <xdr:rowOff>22383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7915" y="19253972"/>
          <a:ext cx="1763485" cy="896097"/>
        </a:xfrm>
        <a:prstGeom prst="rect">
          <a:avLst/>
        </a:prstGeom>
      </xdr:spPr>
    </xdr:pic>
    <xdr:clientData/>
  </xdr:twoCellAnchor>
  <xdr:twoCellAnchor editAs="oneCell">
    <xdr:from>
      <xdr:col>13</xdr:col>
      <xdr:colOff>794657</xdr:colOff>
      <xdr:row>80</xdr:row>
      <xdr:rowOff>119741</xdr:rowOff>
    </xdr:from>
    <xdr:to>
      <xdr:col>16</xdr:col>
      <xdr:colOff>82216</xdr:colOff>
      <xdr:row>82</xdr:row>
      <xdr:rowOff>4210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7914" y="23513141"/>
          <a:ext cx="1791273" cy="798869"/>
        </a:xfrm>
        <a:prstGeom prst="rect">
          <a:avLst/>
        </a:prstGeom>
      </xdr:spPr>
    </xdr:pic>
    <xdr:clientData/>
  </xdr:twoCellAnchor>
  <xdr:twoCellAnchor>
    <xdr:from>
      <xdr:col>8</xdr:col>
      <xdr:colOff>85379</xdr:colOff>
      <xdr:row>64</xdr:row>
      <xdr:rowOff>18075</xdr:rowOff>
    </xdr:from>
    <xdr:to>
      <xdr:col>8</xdr:col>
      <xdr:colOff>609549</xdr:colOff>
      <xdr:row>65</xdr:row>
      <xdr:rowOff>203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9779" y="19231361"/>
          <a:ext cx="524170" cy="515528"/>
        </a:xfrm>
        <a:prstGeom prst="rect">
          <a:avLst/>
        </a:prstGeom>
      </xdr:spPr>
    </xdr:pic>
    <xdr:clientData/>
  </xdr:twoCellAnchor>
  <xdr:twoCellAnchor>
    <xdr:from>
      <xdr:col>8</xdr:col>
      <xdr:colOff>128922</xdr:colOff>
      <xdr:row>70</xdr:row>
      <xdr:rowOff>18076</xdr:rowOff>
    </xdr:from>
    <xdr:to>
      <xdr:col>8</xdr:col>
      <xdr:colOff>653092</xdr:colOff>
      <xdr:row>71</xdr:row>
      <xdr:rowOff>204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322" y="20929533"/>
          <a:ext cx="524170" cy="515528"/>
        </a:xfrm>
        <a:prstGeom prst="rect">
          <a:avLst/>
        </a:prstGeom>
      </xdr:spPr>
    </xdr:pic>
    <xdr:clientData/>
  </xdr:twoCellAnchor>
  <xdr:twoCellAnchor>
    <xdr:from>
      <xdr:col>8</xdr:col>
      <xdr:colOff>183350</xdr:colOff>
      <xdr:row>80</xdr:row>
      <xdr:rowOff>7190</xdr:rowOff>
    </xdr:from>
    <xdr:to>
      <xdr:col>8</xdr:col>
      <xdr:colOff>707520</xdr:colOff>
      <xdr:row>80</xdr:row>
      <xdr:rowOff>522718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7750" y="23400590"/>
          <a:ext cx="524170" cy="515528"/>
        </a:xfrm>
        <a:prstGeom prst="rect">
          <a:avLst/>
        </a:prstGeom>
      </xdr:spPr>
    </xdr:pic>
    <xdr:clientData/>
  </xdr:twoCellAnchor>
  <xdr:oneCellAnchor>
    <xdr:from>
      <xdr:col>13</xdr:col>
      <xdr:colOff>816430</xdr:colOff>
      <xdr:row>86</xdr:row>
      <xdr:rowOff>53304</xdr:rowOff>
    </xdr:from>
    <xdr:ext cx="1485898" cy="948182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9687" y="11156733"/>
          <a:ext cx="1485898" cy="948182"/>
        </a:xfrm>
        <a:prstGeom prst="rect">
          <a:avLst/>
        </a:prstGeom>
      </xdr:spPr>
    </xdr:pic>
    <xdr:clientData/>
  </xdr:oneCellAnchor>
  <xdr:twoCellAnchor>
    <xdr:from>
      <xdr:col>8</xdr:col>
      <xdr:colOff>183350</xdr:colOff>
      <xdr:row>86</xdr:row>
      <xdr:rowOff>72505</xdr:rowOff>
    </xdr:from>
    <xdr:to>
      <xdr:col>8</xdr:col>
      <xdr:colOff>707520</xdr:colOff>
      <xdr:row>86</xdr:row>
      <xdr:rowOff>588033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7750" y="25164076"/>
          <a:ext cx="524170" cy="515528"/>
        </a:xfrm>
        <a:prstGeom prst="rect">
          <a:avLst/>
        </a:prstGeom>
      </xdr:spPr>
    </xdr:pic>
    <xdr:clientData/>
  </xdr:twoCellAnchor>
  <xdr:oneCellAnchor>
    <xdr:from>
      <xdr:col>13</xdr:col>
      <xdr:colOff>843644</xdr:colOff>
      <xdr:row>96</xdr:row>
      <xdr:rowOff>94862</xdr:rowOff>
    </xdr:from>
    <xdr:ext cx="1755321" cy="653531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1" y="14213633"/>
          <a:ext cx="1755321" cy="653531"/>
        </a:xfrm>
        <a:prstGeom prst="rect">
          <a:avLst/>
        </a:prstGeom>
      </xdr:spPr>
    </xdr:pic>
    <xdr:clientData/>
  </xdr:oneCellAnchor>
  <xdr:twoCellAnchor>
    <xdr:from>
      <xdr:col>8</xdr:col>
      <xdr:colOff>194235</xdr:colOff>
      <xdr:row>96</xdr:row>
      <xdr:rowOff>7190</xdr:rowOff>
    </xdr:from>
    <xdr:to>
      <xdr:col>8</xdr:col>
      <xdr:colOff>718405</xdr:colOff>
      <xdr:row>96</xdr:row>
      <xdr:rowOff>522718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635" y="27722219"/>
          <a:ext cx="524170" cy="515528"/>
        </a:xfrm>
        <a:prstGeom prst="rect">
          <a:avLst/>
        </a:prstGeom>
      </xdr:spPr>
    </xdr:pic>
    <xdr:clientData/>
  </xdr:twoCellAnchor>
  <xdr:twoCellAnchor>
    <xdr:from>
      <xdr:col>0</xdr:col>
      <xdr:colOff>29455</xdr:colOff>
      <xdr:row>136</xdr:row>
      <xdr:rowOff>83243</xdr:rowOff>
    </xdr:from>
    <xdr:to>
      <xdr:col>11</xdr:col>
      <xdr:colOff>132468</xdr:colOff>
      <xdr:row>141</xdr:row>
      <xdr:rowOff>153011</xdr:rowOff>
    </xdr:to>
    <xdr:sp macro="" textlink="">
      <xdr:nvSpPr>
        <xdr:cNvPr id="25" name="TextBox 24"/>
        <xdr:cNvSpPr txBox="1"/>
      </xdr:nvSpPr>
      <xdr:spPr>
        <a:xfrm>
          <a:off x="29455" y="47712725"/>
          <a:ext cx="10815837" cy="9214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18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general-russia.ru/9-programma_podbora_oborudovaniya.html" TargetMode="External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eneral-russia.ru/plugins/catalog/catalog.php?act=cat&amp;id=1" TargetMode="External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general-aircond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U36"/>
  <sheetViews>
    <sheetView view="pageBreakPreview" topLeftCell="A13" zoomScaleNormal="90" zoomScaleSheetLayoutView="100" workbookViewId="0"/>
  </sheetViews>
  <sheetFormatPr defaultColWidth="9.08984375" defaultRowHeight="12.5"/>
  <cols>
    <col min="1" max="16384" width="9.08984375" style="26"/>
  </cols>
  <sheetData>
    <row r="7" spans="1:14">
      <c r="A7" s="84"/>
      <c r="B7" s="84"/>
      <c r="C7" s="84"/>
      <c r="D7" s="84"/>
      <c r="E7" s="84"/>
      <c r="F7" s="84"/>
      <c r="G7" s="84"/>
      <c r="H7" s="84"/>
    </row>
    <row r="8" spans="1:14">
      <c r="A8" s="29"/>
      <c r="B8" s="29"/>
      <c r="C8" s="29"/>
      <c r="D8" s="29"/>
      <c r="E8" s="29"/>
      <c r="F8" s="29"/>
    </row>
    <row r="9" spans="1:14" s="53" customFormat="1" ht="17.5">
      <c r="A9" s="115"/>
      <c r="B9" s="114"/>
      <c r="C9" s="114"/>
      <c r="D9" s="114"/>
      <c r="E9" s="114"/>
      <c r="F9" s="116"/>
      <c r="L9" s="525"/>
      <c r="M9" s="525"/>
      <c r="N9" s="95"/>
    </row>
    <row r="10" spans="1:14">
      <c r="A10" s="29"/>
      <c r="B10" s="29"/>
      <c r="C10" s="29"/>
      <c r="D10" s="29"/>
      <c r="E10" s="29"/>
      <c r="F10" s="29"/>
    </row>
    <row r="18" spans="21:21">
      <c r="U18"/>
    </row>
    <row r="36" spans="21:21">
      <c r="U36"/>
    </row>
  </sheetData>
  <customSheetViews>
    <customSheetView guid="{FA833650-9147-48FF-9246-B3943D91CD8D}" scale="106" showPageBreaks="1" printArea="1" view="pageBreakPreview">
      <colBreaks count="1" manualBreakCount="1">
        <brk id="18" max="49" man="1"/>
      </colBreaks>
      <pageMargins left="0.7" right="0.7" top="0.75" bottom="0.75" header="0.3" footer="0.3"/>
      <pageSetup paperSize="9" scale="78" orientation="landscape" r:id="rId1"/>
    </customSheetView>
  </customSheetViews>
  <mergeCells count="1">
    <mergeCell ref="L9:M9"/>
  </mergeCells>
  <conditionalFormatting sqref="A9">
    <cfRule type="duplicateValues" dxfId="216" priority="1" stopIfTrue="1"/>
    <cfRule type="duplicateValues" dxfId="215" priority="2" stopIfTrue="1"/>
  </conditionalFormatting>
  <pageMargins left="0.7" right="0.7" top="0.75" bottom="0.75" header="0.3" footer="0.3"/>
  <pageSetup paperSize="9" scale="78" orientation="landscape" r:id="rId2"/>
  <colBreaks count="1" manualBreakCount="1">
    <brk id="18" max="49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94"/>
  <sheetViews>
    <sheetView zoomScale="70" zoomScaleNormal="70" zoomScaleSheetLayoutView="70" workbookViewId="0">
      <pane ySplit="6" topLeftCell="A7" activePane="bottomLeft" state="frozen"/>
      <selection pane="bottomLeft"/>
    </sheetView>
  </sheetViews>
  <sheetFormatPr defaultRowHeight="13"/>
  <cols>
    <col min="1" max="1" width="27" style="5" customWidth="1"/>
    <col min="2" max="2" width="26.54296875" style="13" customWidth="1"/>
    <col min="3" max="4" width="8.08984375" style="13" customWidth="1"/>
    <col min="5" max="5" width="15" style="12" customWidth="1"/>
    <col min="6" max="6" width="12.6328125" style="12" customWidth="1"/>
    <col min="7" max="7" width="14.453125" style="12" customWidth="1"/>
    <col min="8" max="8" width="9.36328125" style="5" customWidth="1"/>
    <col min="9" max="9" width="12.08984375" style="12" customWidth="1"/>
    <col min="10" max="10" width="11.90625" style="12" customWidth="1"/>
    <col min="11" max="11" width="12.36328125" style="14" customWidth="1"/>
    <col min="12" max="12" width="11.08984375" style="14" customWidth="1"/>
    <col min="13" max="13" width="17.36328125" style="18" customWidth="1"/>
    <col min="14" max="14" width="8" style="14" customWidth="1"/>
    <col min="15" max="15" width="9.90625" style="14" customWidth="1"/>
    <col min="16" max="16" width="5" style="32" customWidth="1"/>
    <col min="17" max="48" width="9.08984375" style="32" customWidth="1"/>
  </cols>
  <sheetData>
    <row r="1" spans="1:48" s="7" customFormat="1" ht="53.25" customHeight="1">
      <c r="A1" s="385"/>
      <c r="B1" s="386"/>
      <c r="C1" s="386"/>
      <c r="D1" s="386"/>
      <c r="E1" s="386"/>
      <c r="F1" s="386"/>
      <c r="G1" s="386"/>
      <c r="H1" s="386"/>
      <c r="I1" s="386"/>
      <c r="J1" s="386"/>
      <c r="K1" s="390"/>
      <c r="L1" s="390"/>
      <c r="M1" s="417"/>
      <c r="N1" s="391" t="s">
        <v>564</v>
      </c>
      <c r="O1" s="418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</row>
    <row r="2" spans="1:48" s="7" customFormat="1" ht="21.75" customHeight="1" thickBot="1">
      <c r="A2" s="393"/>
      <c r="B2" s="203"/>
      <c r="C2" s="203"/>
      <c r="D2" s="203"/>
      <c r="E2" s="203"/>
      <c r="F2" s="203"/>
      <c r="G2" s="203"/>
      <c r="H2" s="203"/>
      <c r="I2" s="203"/>
      <c r="J2" s="203"/>
      <c r="K2" s="732"/>
      <c r="L2" s="732"/>
      <c r="M2" s="732"/>
      <c r="N2" s="732"/>
      <c r="O2" s="419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</row>
    <row r="3" spans="1:48" s="7" customFormat="1" ht="18.75" customHeight="1" thickBot="1">
      <c r="A3" s="395"/>
      <c r="B3" s="70"/>
      <c r="C3" s="327" t="s">
        <v>1289</v>
      </c>
      <c r="D3" s="131">
        <v>0.35</v>
      </c>
      <c r="E3" s="70"/>
      <c r="F3" s="133" t="s">
        <v>480</v>
      </c>
      <c r="G3" s="347"/>
      <c r="H3" s="348"/>
      <c r="I3" s="322">
        <f>SUM(L9:L409)</f>
        <v>0</v>
      </c>
      <c r="J3" s="738" t="s">
        <v>900</v>
      </c>
      <c r="K3" s="687"/>
      <c r="L3" s="134">
        <f>SUMPRODUCT(H9:H409,N9:N409)</f>
        <v>0</v>
      </c>
      <c r="M3" s="570" t="s">
        <v>478</v>
      </c>
      <c r="N3" s="570"/>
      <c r="O3" s="396">
        <f>SUMPRODUCT(H9:H409,O9:O409)</f>
        <v>0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</row>
    <row r="4" spans="1:48" s="26" customFormat="1" ht="8.4" customHeight="1">
      <c r="A4" s="440"/>
      <c r="B4" s="241"/>
      <c r="C4" s="242"/>
      <c r="D4" s="243"/>
      <c r="E4" s="244"/>
      <c r="F4" s="245"/>
      <c r="G4" s="245"/>
      <c r="H4" s="246"/>
      <c r="I4" s="247"/>
      <c r="J4" s="247"/>
      <c r="K4" s="248"/>
      <c r="L4" s="248"/>
      <c r="M4" s="248"/>
      <c r="N4" s="248"/>
      <c r="O4" s="441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</row>
    <row r="5" spans="1:48" ht="25.25" customHeight="1">
      <c r="A5" s="634" t="s">
        <v>47</v>
      </c>
      <c r="B5" s="551" t="s">
        <v>161</v>
      </c>
      <c r="C5" s="577" t="s">
        <v>48</v>
      </c>
      <c r="D5" s="577"/>
      <c r="E5" s="571" t="s">
        <v>492</v>
      </c>
      <c r="F5" s="578" t="s">
        <v>493</v>
      </c>
      <c r="G5" s="636" t="s">
        <v>740</v>
      </c>
      <c r="H5" s="580" t="s">
        <v>28</v>
      </c>
      <c r="I5" s="561" t="s">
        <v>22</v>
      </c>
      <c r="J5" s="573" t="s">
        <v>490</v>
      </c>
      <c r="K5" s="559" t="s">
        <v>491</v>
      </c>
      <c r="L5" s="559" t="s">
        <v>27</v>
      </c>
      <c r="M5" s="572" t="s">
        <v>318</v>
      </c>
      <c r="N5" s="572" t="s">
        <v>23</v>
      </c>
      <c r="O5" s="635" t="s">
        <v>24</v>
      </c>
    </row>
    <row r="6" spans="1:48" ht="33.65" customHeight="1">
      <c r="A6" s="634"/>
      <c r="B6" s="847"/>
      <c r="C6" s="344" t="s">
        <v>49</v>
      </c>
      <c r="D6" s="344" t="s">
        <v>50</v>
      </c>
      <c r="E6" s="571"/>
      <c r="F6" s="578"/>
      <c r="G6" s="636"/>
      <c r="H6" s="580"/>
      <c r="I6" s="561"/>
      <c r="J6" s="573"/>
      <c r="K6" s="559"/>
      <c r="L6" s="559"/>
      <c r="M6" s="572"/>
      <c r="N6" s="572"/>
      <c r="O6" s="635"/>
    </row>
    <row r="7" spans="1:48" ht="30" customHeight="1">
      <c r="A7" s="652" t="s">
        <v>1062</v>
      </c>
      <c r="B7" s="653"/>
      <c r="C7" s="653"/>
      <c r="D7" s="653"/>
      <c r="E7" s="653"/>
      <c r="F7" s="653"/>
      <c r="G7" s="653"/>
      <c r="H7" s="653"/>
      <c r="I7" s="653"/>
      <c r="J7" s="653"/>
      <c r="K7" s="653"/>
      <c r="L7" s="149"/>
      <c r="M7" s="150"/>
      <c r="N7" s="150"/>
      <c r="O7" s="399"/>
      <c r="P7" s="38"/>
    </row>
    <row r="8" spans="1:48" s="36" customFormat="1" ht="30" customHeight="1">
      <c r="A8" s="537" t="s">
        <v>166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9"/>
      <c r="P8" s="38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</row>
    <row r="9" spans="1:48" s="4" customFormat="1" ht="17.399999999999999" customHeight="1">
      <c r="A9" s="382" t="s">
        <v>1439</v>
      </c>
      <c r="B9" s="235"/>
      <c r="C9" s="353">
        <v>12.1</v>
      </c>
      <c r="D9" s="220">
        <v>13.6</v>
      </c>
      <c r="E9" s="231"/>
      <c r="F9" s="350">
        <v>3877</v>
      </c>
      <c r="G9" s="222">
        <v>310200</v>
      </c>
      <c r="H9" s="160"/>
      <c r="I9" s="145">
        <f>$D$3</f>
        <v>0.35</v>
      </c>
      <c r="J9" s="350"/>
      <c r="K9" s="340">
        <f>SUM(F9-(F9*I9))</f>
        <v>2520.0500000000002</v>
      </c>
      <c r="L9" s="331">
        <f>H9*K9</f>
        <v>0</v>
      </c>
      <c r="M9" s="337" t="s">
        <v>551</v>
      </c>
      <c r="N9" s="336">
        <v>0.75</v>
      </c>
      <c r="O9" s="370">
        <v>95</v>
      </c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s="4" customFormat="1" ht="17.399999999999999" customHeight="1">
      <c r="A10" s="382" t="s">
        <v>1440</v>
      </c>
      <c r="B10" s="235"/>
      <c r="C10" s="219">
        <v>14</v>
      </c>
      <c r="D10" s="236">
        <v>16</v>
      </c>
      <c r="E10" s="231"/>
      <c r="F10" s="350">
        <v>4300</v>
      </c>
      <c r="G10" s="222">
        <v>344000</v>
      </c>
      <c r="H10" s="160"/>
      <c r="I10" s="145">
        <f>$D$3</f>
        <v>0.35</v>
      </c>
      <c r="J10" s="350"/>
      <c r="K10" s="340">
        <f>SUM(F10-(F10*I10))</f>
        <v>2795</v>
      </c>
      <c r="L10" s="331">
        <f>H10*K10</f>
        <v>0</v>
      </c>
      <c r="M10" s="337" t="s">
        <v>551</v>
      </c>
      <c r="N10" s="336">
        <v>0.75</v>
      </c>
      <c r="O10" s="370">
        <v>95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s="4" customFormat="1" ht="17.399999999999999" customHeight="1">
      <c r="A11" s="382" t="s">
        <v>1441</v>
      </c>
      <c r="B11" s="235"/>
      <c r="C11" s="353">
        <v>15.1</v>
      </c>
      <c r="D11" s="236">
        <v>18</v>
      </c>
      <c r="E11" s="231"/>
      <c r="F11" s="350">
        <v>4734</v>
      </c>
      <c r="G11" s="222">
        <v>378800</v>
      </c>
      <c r="H11" s="160"/>
      <c r="I11" s="145">
        <f>$D$3</f>
        <v>0.35</v>
      </c>
      <c r="J11" s="350"/>
      <c r="K11" s="340">
        <f>SUM(F11-(F11*I11))</f>
        <v>3077.1000000000004</v>
      </c>
      <c r="L11" s="331">
        <f>H11*K11</f>
        <v>0</v>
      </c>
      <c r="M11" s="337" t="s">
        <v>551</v>
      </c>
      <c r="N11" s="336">
        <v>0.75</v>
      </c>
      <c r="O11" s="370">
        <v>96</v>
      </c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30" customHeight="1">
      <c r="A12" s="652" t="s">
        <v>1445</v>
      </c>
      <c r="B12" s="653"/>
      <c r="C12" s="653"/>
      <c r="D12" s="653"/>
      <c r="E12" s="653"/>
      <c r="F12" s="653"/>
      <c r="G12" s="653"/>
      <c r="H12" s="653"/>
      <c r="I12" s="653"/>
      <c r="J12" s="653"/>
      <c r="K12" s="653"/>
      <c r="L12" s="149"/>
      <c r="M12" s="150"/>
      <c r="N12" s="150"/>
      <c r="O12" s="399"/>
      <c r="P12" s="38"/>
      <c r="Q12" s="46"/>
      <c r="R12" s="92"/>
      <c r="S12" s="46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</row>
    <row r="13" spans="1:48" s="36" customFormat="1" ht="30" customHeight="1">
      <c r="A13" s="537" t="s">
        <v>166</v>
      </c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9"/>
      <c r="P13" s="38"/>
      <c r="Q13" s="46"/>
      <c r="R13" s="92"/>
      <c r="S13" s="46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</row>
    <row r="14" spans="1:48" s="4" customFormat="1" ht="18" customHeight="1">
      <c r="A14" s="382" t="s">
        <v>1442</v>
      </c>
      <c r="B14" s="235"/>
      <c r="C14" s="353">
        <v>12.1</v>
      </c>
      <c r="D14" s="220">
        <v>13.6</v>
      </c>
      <c r="E14" s="231"/>
      <c r="F14" s="350">
        <v>3877</v>
      </c>
      <c r="G14" s="222">
        <v>310200</v>
      </c>
      <c r="H14" s="160"/>
      <c r="I14" s="145">
        <f>$D$3</f>
        <v>0.35</v>
      </c>
      <c r="J14" s="350"/>
      <c r="K14" s="340">
        <f>SUM(F14-(F14*I14))</f>
        <v>2520.0500000000002</v>
      </c>
      <c r="L14" s="331">
        <f>H14*K14</f>
        <v>0</v>
      </c>
      <c r="M14" s="337" t="s">
        <v>551</v>
      </c>
      <c r="N14" s="336">
        <v>0.75</v>
      </c>
      <c r="O14" s="370">
        <v>95</v>
      </c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s="4" customFormat="1" ht="18" customHeight="1">
      <c r="A15" s="382" t="s">
        <v>1443</v>
      </c>
      <c r="B15" s="235"/>
      <c r="C15" s="219">
        <v>14</v>
      </c>
      <c r="D15" s="236">
        <v>16</v>
      </c>
      <c r="E15" s="231"/>
      <c r="F15" s="350">
        <v>4300</v>
      </c>
      <c r="G15" s="222">
        <v>344000</v>
      </c>
      <c r="H15" s="160"/>
      <c r="I15" s="145">
        <f>$D$3</f>
        <v>0.35</v>
      </c>
      <c r="J15" s="350"/>
      <c r="K15" s="340">
        <f>SUM(F15-(F15*I15))</f>
        <v>2795</v>
      </c>
      <c r="L15" s="331">
        <f>H15*K15</f>
        <v>0</v>
      </c>
      <c r="M15" s="337" t="s">
        <v>551</v>
      </c>
      <c r="N15" s="336">
        <v>0.75</v>
      </c>
      <c r="O15" s="370">
        <v>95</v>
      </c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s="4" customFormat="1" ht="18" customHeight="1">
      <c r="A16" s="382" t="s">
        <v>1444</v>
      </c>
      <c r="B16" s="235"/>
      <c r="C16" s="353">
        <v>15.1</v>
      </c>
      <c r="D16" s="236">
        <v>18</v>
      </c>
      <c r="E16" s="231"/>
      <c r="F16" s="350">
        <v>4734</v>
      </c>
      <c r="G16" s="222">
        <v>378800</v>
      </c>
      <c r="H16" s="160"/>
      <c r="I16" s="145">
        <f>$D$3</f>
        <v>0.35</v>
      </c>
      <c r="J16" s="350"/>
      <c r="K16" s="340">
        <f>SUM(F16-(F16*I16))</f>
        <v>3077.1000000000004</v>
      </c>
      <c r="L16" s="331">
        <f>H16*K16</f>
        <v>0</v>
      </c>
      <c r="M16" s="337" t="s">
        <v>551</v>
      </c>
      <c r="N16" s="336">
        <v>0.75</v>
      </c>
      <c r="O16" s="370">
        <v>96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s="4" customFormat="1" ht="30" customHeight="1">
      <c r="A17" s="652" t="s">
        <v>1446</v>
      </c>
      <c r="B17" s="653"/>
      <c r="C17" s="653"/>
      <c r="D17" s="653"/>
      <c r="E17" s="653"/>
      <c r="F17" s="653"/>
      <c r="G17" s="653"/>
      <c r="H17" s="653"/>
      <c r="I17" s="653"/>
      <c r="J17" s="653"/>
      <c r="K17" s="653"/>
      <c r="L17" s="149"/>
      <c r="M17" s="150"/>
      <c r="N17" s="150"/>
      <c r="O17" s="399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s="4" customFormat="1" ht="30" customHeight="1">
      <c r="A18" s="537" t="s">
        <v>644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9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s="4" customFormat="1" ht="15" customHeight="1">
      <c r="A19" s="380" t="s">
        <v>641</v>
      </c>
      <c r="B19" s="235"/>
      <c r="C19" s="353">
        <v>12.1</v>
      </c>
      <c r="D19" s="220">
        <v>13.6</v>
      </c>
      <c r="E19" s="231"/>
      <c r="F19" s="350">
        <v>5075</v>
      </c>
      <c r="G19" s="222">
        <v>406000</v>
      </c>
      <c r="H19" s="160"/>
      <c r="I19" s="145">
        <f t="shared" ref="I19:I24" si="0">$D$3</f>
        <v>0.35</v>
      </c>
      <c r="J19" s="350"/>
      <c r="K19" s="340">
        <f t="shared" ref="K19:K24" si="1">SUM(F19-(F19*I19))</f>
        <v>3298.75</v>
      </c>
      <c r="L19" s="331">
        <f t="shared" ref="L19:L24" si="2">H19*K19</f>
        <v>0</v>
      </c>
      <c r="M19" s="337" t="s">
        <v>545</v>
      </c>
      <c r="N19" s="336">
        <v>0.75</v>
      </c>
      <c r="O19" s="370">
        <v>128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s="4" customFormat="1" ht="15" customHeight="1">
      <c r="A20" s="380" t="s">
        <v>642</v>
      </c>
      <c r="B20" s="235"/>
      <c r="C20" s="219">
        <v>14</v>
      </c>
      <c r="D20" s="236">
        <v>16</v>
      </c>
      <c r="E20" s="231"/>
      <c r="F20" s="350">
        <v>5372</v>
      </c>
      <c r="G20" s="222">
        <v>429800</v>
      </c>
      <c r="H20" s="160"/>
      <c r="I20" s="145">
        <f t="shared" si="0"/>
        <v>0.35</v>
      </c>
      <c r="J20" s="350"/>
      <c r="K20" s="340">
        <f t="shared" si="1"/>
        <v>3491.8</v>
      </c>
      <c r="L20" s="331">
        <f t="shared" si="2"/>
        <v>0</v>
      </c>
      <c r="M20" s="337" t="s">
        <v>545</v>
      </c>
      <c r="N20" s="336">
        <v>0.75</v>
      </c>
      <c r="O20" s="370">
        <v>129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s="4" customFormat="1" ht="15" customHeight="1">
      <c r="A21" s="380" t="s">
        <v>643</v>
      </c>
      <c r="B21" s="235"/>
      <c r="C21" s="353">
        <v>15.5</v>
      </c>
      <c r="D21" s="236">
        <v>18</v>
      </c>
      <c r="E21" s="231"/>
      <c r="F21" s="350">
        <v>6005</v>
      </c>
      <c r="G21" s="222">
        <v>480400</v>
      </c>
      <c r="H21" s="160"/>
      <c r="I21" s="145">
        <f t="shared" si="0"/>
        <v>0.35</v>
      </c>
      <c r="J21" s="350"/>
      <c r="K21" s="340">
        <f t="shared" si="1"/>
        <v>3903.25</v>
      </c>
      <c r="L21" s="331">
        <f t="shared" si="2"/>
        <v>0</v>
      </c>
      <c r="M21" s="337" t="s">
        <v>545</v>
      </c>
      <c r="N21" s="336">
        <v>0.75</v>
      </c>
      <c r="O21" s="370">
        <v>130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s="4" customFormat="1" ht="15" customHeight="1">
      <c r="A22" s="380" t="s">
        <v>646</v>
      </c>
      <c r="B22" s="235"/>
      <c r="C22" s="353">
        <v>12.1</v>
      </c>
      <c r="D22" s="220">
        <v>13.6</v>
      </c>
      <c r="E22" s="231"/>
      <c r="F22" s="350">
        <v>5176</v>
      </c>
      <c r="G22" s="222">
        <v>414100</v>
      </c>
      <c r="H22" s="160"/>
      <c r="I22" s="145">
        <f t="shared" si="0"/>
        <v>0.35</v>
      </c>
      <c r="J22" s="350"/>
      <c r="K22" s="340">
        <f t="shared" si="1"/>
        <v>3364.4</v>
      </c>
      <c r="L22" s="331">
        <f t="shared" si="2"/>
        <v>0</v>
      </c>
      <c r="M22" s="337" t="s">
        <v>545</v>
      </c>
      <c r="N22" s="336">
        <v>0.75</v>
      </c>
      <c r="O22" s="370">
        <v>129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s="4" customFormat="1" ht="15" customHeight="1">
      <c r="A23" s="380" t="s">
        <v>647</v>
      </c>
      <c r="B23" s="235"/>
      <c r="C23" s="219">
        <v>14</v>
      </c>
      <c r="D23" s="236">
        <v>16</v>
      </c>
      <c r="E23" s="231"/>
      <c r="F23" s="350">
        <v>5475</v>
      </c>
      <c r="G23" s="222">
        <v>438000</v>
      </c>
      <c r="H23" s="160"/>
      <c r="I23" s="145">
        <f t="shared" si="0"/>
        <v>0.35</v>
      </c>
      <c r="J23" s="350"/>
      <c r="K23" s="340">
        <f t="shared" si="1"/>
        <v>3558.75</v>
      </c>
      <c r="L23" s="331">
        <f t="shared" si="2"/>
        <v>0</v>
      </c>
      <c r="M23" s="337" t="s">
        <v>545</v>
      </c>
      <c r="N23" s="336">
        <v>0.75</v>
      </c>
      <c r="O23" s="370">
        <v>130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s="4" customFormat="1" ht="15" customHeight="1">
      <c r="A24" s="380" t="s">
        <v>648</v>
      </c>
      <c r="B24" s="235"/>
      <c r="C24" s="353">
        <v>15.5</v>
      </c>
      <c r="D24" s="236">
        <v>18</v>
      </c>
      <c r="E24" s="231"/>
      <c r="F24" s="350">
        <v>6122</v>
      </c>
      <c r="G24" s="222">
        <v>489800</v>
      </c>
      <c r="H24" s="160"/>
      <c r="I24" s="145">
        <f t="shared" si="0"/>
        <v>0.35</v>
      </c>
      <c r="J24" s="350"/>
      <c r="K24" s="340">
        <f t="shared" si="1"/>
        <v>3979.3</v>
      </c>
      <c r="L24" s="331">
        <f t="shared" si="2"/>
        <v>0</v>
      </c>
      <c r="M24" s="337" t="s">
        <v>545</v>
      </c>
      <c r="N24" s="336">
        <v>0.75</v>
      </c>
      <c r="O24" s="370">
        <v>130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s="4" customFormat="1" ht="30" customHeight="1">
      <c r="A25" s="652" t="s">
        <v>1447</v>
      </c>
      <c r="B25" s="653"/>
      <c r="C25" s="653"/>
      <c r="D25" s="653"/>
      <c r="E25" s="653"/>
      <c r="F25" s="653"/>
      <c r="G25" s="653"/>
      <c r="H25" s="653"/>
      <c r="I25" s="653"/>
      <c r="J25" s="653"/>
      <c r="K25" s="653"/>
      <c r="L25" s="149"/>
      <c r="M25" s="150"/>
      <c r="N25" s="150"/>
      <c r="O25" s="399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s="4" customFormat="1" ht="30" customHeight="1">
      <c r="A26" s="537" t="s">
        <v>644</v>
      </c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9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s="4" customFormat="1" ht="15" customHeight="1">
      <c r="A27" s="380" t="s">
        <v>1448</v>
      </c>
      <c r="B27" s="235"/>
      <c r="C27" s="353">
        <v>12.1</v>
      </c>
      <c r="D27" s="220">
        <v>13.6</v>
      </c>
      <c r="E27" s="231"/>
      <c r="F27" s="350">
        <v>5075</v>
      </c>
      <c r="G27" s="222">
        <v>406000</v>
      </c>
      <c r="H27" s="160"/>
      <c r="I27" s="145">
        <f t="shared" ref="I27:I32" si="3">$D$3</f>
        <v>0.35</v>
      </c>
      <c r="J27" s="350"/>
      <c r="K27" s="340">
        <f t="shared" ref="K27:K32" si="4">SUM(F27-(F27*I27))</f>
        <v>3298.75</v>
      </c>
      <c r="L27" s="331">
        <f t="shared" ref="L27:L32" si="5">H27*K27</f>
        <v>0</v>
      </c>
      <c r="M27" s="337" t="s">
        <v>545</v>
      </c>
      <c r="N27" s="336">
        <v>0.75</v>
      </c>
      <c r="O27" s="370">
        <v>128</v>
      </c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s="4" customFormat="1" ht="15" customHeight="1">
      <c r="A28" s="380" t="s">
        <v>1449</v>
      </c>
      <c r="B28" s="235"/>
      <c r="C28" s="219">
        <v>14</v>
      </c>
      <c r="D28" s="236">
        <v>16</v>
      </c>
      <c r="E28" s="231"/>
      <c r="F28" s="350">
        <v>5372</v>
      </c>
      <c r="G28" s="222">
        <v>429800</v>
      </c>
      <c r="H28" s="160"/>
      <c r="I28" s="145">
        <f t="shared" si="3"/>
        <v>0.35</v>
      </c>
      <c r="J28" s="350"/>
      <c r="K28" s="340">
        <f t="shared" si="4"/>
        <v>3491.8</v>
      </c>
      <c r="L28" s="331">
        <f t="shared" si="5"/>
        <v>0</v>
      </c>
      <c r="M28" s="337" t="s">
        <v>545</v>
      </c>
      <c r="N28" s="336">
        <v>0.75</v>
      </c>
      <c r="O28" s="370">
        <v>129</v>
      </c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s="4" customFormat="1" ht="15" customHeight="1">
      <c r="A29" s="380" t="s">
        <v>1450</v>
      </c>
      <c r="B29" s="235"/>
      <c r="C29" s="353">
        <v>15.5</v>
      </c>
      <c r="D29" s="236">
        <v>18</v>
      </c>
      <c r="E29" s="231"/>
      <c r="F29" s="350">
        <v>6005</v>
      </c>
      <c r="G29" s="222">
        <v>480400</v>
      </c>
      <c r="H29" s="160"/>
      <c r="I29" s="145">
        <f t="shared" si="3"/>
        <v>0.35</v>
      </c>
      <c r="J29" s="350"/>
      <c r="K29" s="340">
        <f t="shared" si="4"/>
        <v>3903.25</v>
      </c>
      <c r="L29" s="331">
        <f t="shared" si="5"/>
        <v>0</v>
      </c>
      <c r="M29" s="337" t="s">
        <v>545</v>
      </c>
      <c r="N29" s="336">
        <v>0.75</v>
      </c>
      <c r="O29" s="370">
        <v>130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s="4" customFormat="1" ht="15" customHeight="1">
      <c r="A30" s="380" t="s">
        <v>1451</v>
      </c>
      <c r="B30" s="235"/>
      <c r="C30" s="353">
        <v>12.1</v>
      </c>
      <c r="D30" s="220">
        <v>13.6</v>
      </c>
      <c r="E30" s="231"/>
      <c r="F30" s="350">
        <v>5176</v>
      </c>
      <c r="G30" s="222">
        <v>414100</v>
      </c>
      <c r="H30" s="160"/>
      <c r="I30" s="145">
        <f t="shared" si="3"/>
        <v>0.35</v>
      </c>
      <c r="J30" s="350"/>
      <c r="K30" s="340">
        <f t="shared" si="4"/>
        <v>3364.4</v>
      </c>
      <c r="L30" s="331">
        <f t="shared" si="5"/>
        <v>0</v>
      </c>
      <c r="M30" s="337" t="s">
        <v>545</v>
      </c>
      <c r="N30" s="336">
        <v>0.75</v>
      </c>
      <c r="O30" s="370">
        <v>129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s="4" customFormat="1" ht="15" customHeight="1">
      <c r="A31" s="380" t="s">
        <v>1452</v>
      </c>
      <c r="B31" s="235"/>
      <c r="C31" s="219">
        <v>14</v>
      </c>
      <c r="D31" s="236">
        <v>16</v>
      </c>
      <c r="E31" s="231"/>
      <c r="F31" s="350">
        <v>5475</v>
      </c>
      <c r="G31" s="222">
        <v>438000</v>
      </c>
      <c r="H31" s="160"/>
      <c r="I31" s="145">
        <f t="shared" si="3"/>
        <v>0.35</v>
      </c>
      <c r="J31" s="350"/>
      <c r="K31" s="340">
        <f t="shared" si="4"/>
        <v>3558.75</v>
      </c>
      <c r="L31" s="331">
        <f t="shared" si="5"/>
        <v>0</v>
      </c>
      <c r="M31" s="337" t="s">
        <v>545</v>
      </c>
      <c r="N31" s="336">
        <v>0.75</v>
      </c>
      <c r="O31" s="370">
        <v>130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s="4" customFormat="1" ht="15" customHeight="1">
      <c r="A32" s="380" t="s">
        <v>1453</v>
      </c>
      <c r="B32" s="235"/>
      <c r="C32" s="353">
        <v>15.5</v>
      </c>
      <c r="D32" s="236">
        <v>18</v>
      </c>
      <c r="E32" s="231"/>
      <c r="F32" s="350">
        <v>6122</v>
      </c>
      <c r="G32" s="222">
        <v>489800</v>
      </c>
      <c r="H32" s="160"/>
      <c r="I32" s="145">
        <f t="shared" si="3"/>
        <v>0.35</v>
      </c>
      <c r="J32" s="350"/>
      <c r="K32" s="340">
        <f t="shared" si="4"/>
        <v>3979.3</v>
      </c>
      <c r="L32" s="331">
        <f t="shared" si="5"/>
        <v>0</v>
      </c>
      <c r="M32" s="337" t="s">
        <v>545</v>
      </c>
      <c r="N32" s="336">
        <v>0.75</v>
      </c>
      <c r="O32" s="370">
        <v>130</v>
      </c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s="4" customFormat="1" ht="30" customHeight="1">
      <c r="A33" s="652" t="s">
        <v>1454</v>
      </c>
      <c r="B33" s="653"/>
      <c r="C33" s="653"/>
      <c r="D33" s="653"/>
      <c r="E33" s="653"/>
      <c r="F33" s="653"/>
      <c r="G33" s="653"/>
      <c r="H33" s="653"/>
      <c r="I33" s="653"/>
      <c r="J33" s="653"/>
      <c r="K33" s="653"/>
      <c r="L33" s="149"/>
      <c r="M33" s="150"/>
      <c r="N33" s="150"/>
      <c r="O33" s="399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s="4" customFormat="1" ht="30" customHeight="1">
      <c r="A34" s="537" t="s">
        <v>645</v>
      </c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9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s="4" customFormat="1" ht="15" customHeight="1">
      <c r="A35" s="380" t="s">
        <v>674</v>
      </c>
      <c r="B35" s="235"/>
      <c r="C35" s="353">
        <v>22.4</v>
      </c>
      <c r="D35" s="220">
        <v>22.4</v>
      </c>
      <c r="E35" s="231"/>
      <c r="F35" s="350">
        <v>7923</v>
      </c>
      <c r="G35" s="222">
        <v>633900</v>
      </c>
      <c r="H35" s="160"/>
      <c r="I35" s="145">
        <f t="shared" ref="I35:I40" si="6">$D$3</f>
        <v>0.35</v>
      </c>
      <c r="J35" s="350"/>
      <c r="K35" s="340">
        <f t="shared" ref="K35:K40" si="7">SUM(F35-(F35*I35))</f>
        <v>5149.9500000000007</v>
      </c>
      <c r="L35" s="331">
        <f t="shared" ref="L35:L40" si="8">H35*K35</f>
        <v>0</v>
      </c>
      <c r="M35" s="337" t="s">
        <v>767</v>
      </c>
      <c r="N35" s="336">
        <v>0.75</v>
      </c>
      <c r="O35" s="370">
        <v>129</v>
      </c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s="4" customFormat="1" ht="15" customHeight="1">
      <c r="A36" s="380" t="s">
        <v>675</v>
      </c>
      <c r="B36" s="235"/>
      <c r="C36" s="219">
        <v>28</v>
      </c>
      <c r="D36" s="236">
        <v>28</v>
      </c>
      <c r="E36" s="231"/>
      <c r="F36" s="350">
        <v>8785</v>
      </c>
      <c r="G36" s="222">
        <v>702800</v>
      </c>
      <c r="H36" s="160"/>
      <c r="I36" s="145">
        <f t="shared" si="6"/>
        <v>0.35</v>
      </c>
      <c r="J36" s="350"/>
      <c r="K36" s="340">
        <f t="shared" si="7"/>
        <v>5710.25</v>
      </c>
      <c r="L36" s="331">
        <f t="shared" si="8"/>
        <v>0</v>
      </c>
      <c r="M36" s="337" t="s">
        <v>767</v>
      </c>
      <c r="N36" s="336">
        <v>0.75</v>
      </c>
      <c r="O36" s="370">
        <v>130</v>
      </c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s="4" customFormat="1" ht="15" customHeight="1">
      <c r="A37" s="380" t="s">
        <v>706</v>
      </c>
      <c r="B37" s="235"/>
      <c r="C37" s="353">
        <v>33.5</v>
      </c>
      <c r="D37" s="220">
        <v>33.5</v>
      </c>
      <c r="E37" s="231"/>
      <c r="F37" s="350">
        <v>10319</v>
      </c>
      <c r="G37" s="222">
        <v>825600</v>
      </c>
      <c r="H37" s="160"/>
      <c r="I37" s="145">
        <f t="shared" si="6"/>
        <v>0.35</v>
      </c>
      <c r="J37" s="350"/>
      <c r="K37" s="340">
        <f t="shared" si="7"/>
        <v>6707.35</v>
      </c>
      <c r="L37" s="331">
        <f t="shared" si="8"/>
        <v>0</v>
      </c>
      <c r="M37" s="337" t="s">
        <v>767</v>
      </c>
      <c r="N37" s="336">
        <v>0.75</v>
      </c>
      <c r="O37" s="370">
        <v>130</v>
      </c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s="4" customFormat="1" ht="15" customHeight="1">
      <c r="A38" s="380" t="s">
        <v>765</v>
      </c>
      <c r="B38" s="235"/>
      <c r="C38" s="219">
        <v>40</v>
      </c>
      <c r="D38" s="236">
        <v>40</v>
      </c>
      <c r="E38" s="231"/>
      <c r="F38" s="350">
        <v>11244</v>
      </c>
      <c r="G38" s="222">
        <v>899600</v>
      </c>
      <c r="H38" s="160"/>
      <c r="I38" s="145">
        <f t="shared" si="6"/>
        <v>0.35</v>
      </c>
      <c r="J38" s="350"/>
      <c r="K38" s="340">
        <f t="shared" si="7"/>
        <v>7308.6</v>
      </c>
      <c r="L38" s="331">
        <f t="shared" si="8"/>
        <v>0</v>
      </c>
      <c r="M38" s="337" t="s">
        <v>767</v>
      </c>
      <c r="N38" s="336">
        <v>0.75</v>
      </c>
      <c r="O38" s="370">
        <v>130</v>
      </c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s="4" customFormat="1" ht="15" customHeight="1">
      <c r="A39" s="380" t="s">
        <v>766</v>
      </c>
      <c r="B39" s="235"/>
      <c r="C39" s="219">
        <v>45</v>
      </c>
      <c r="D39" s="219">
        <v>45</v>
      </c>
      <c r="E39" s="231"/>
      <c r="F39" s="350">
        <v>13753</v>
      </c>
      <c r="G39" s="222">
        <v>1100300</v>
      </c>
      <c r="H39" s="160"/>
      <c r="I39" s="145">
        <f t="shared" si="6"/>
        <v>0.35</v>
      </c>
      <c r="J39" s="350"/>
      <c r="K39" s="340">
        <f t="shared" si="7"/>
        <v>8939.4500000000007</v>
      </c>
      <c r="L39" s="331">
        <f t="shared" si="8"/>
        <v>0</v>
      </c>
      <c r="M39" s="337" t="s">
        <v>767</v>
      </c>
      <c r="N39" s="336">
        <v>0.75</v>
      </c>
      <c r="O39" s="370">
        <v>130</v>
      </c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s="4" customFormat="1" ht="15" customHeight="1">
      <c r="A40" s="380" t="s">
        <v>803</v>
      </c>
      <c r="B40" s="235"/>
      <c r="C40" s="219">
        <v>50</v>
      </c>
      <c r="D40" s="219">
        <v>55</v>
      </c>
      <c r="E40" s="231"/>
      <c r="F40" s="350">
        <v>15403</v>
      </c>
      <c r="G40" s="222">
        <v>1232300</v>
      </c>
      <c r="H40" s="160"/>
      <c r="I40" s="145">
        <f t="shared" si="6"/>
        <v>0.35</v>
      </c>
      <c r="J40" s="350"/>
      <c r="K40" s="340">
        <f t="shared" si="7"/>
        <v>10011.950000000001</v>
      </c>
      <c r="L40" s="331">
        <f t="shared" si="8"/>
        <v>0</v>
      </c>
      <c r="M40" s="249" t="s">
        <v>547</v>
      </c>
      <c r="N40" s="336">
        <v>1.603</v>
      </c>
      <c r="O40" s="370">
        <v>299</v>
      </c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s="4" customFormat="1" ht="30" customHeight="1">
      <c r="A41" s="652" t="s">
        <v>1455</v>
      </c>
      <c r="B41" s="653"/>
      <c r="C41" s="653"/>
      <c r="D41" s="653"/>
      <c r="E41" s="653"/>
      <c r="F41" s="653"/>
      <c r="G41" s="653"/>
      <c r="H41" s="653"/>
      <c r="I41" s="653"/>
      <c r="J41" s="653"/>
      <c r="K41" s="653"/>
      <c r="L41" s="149"/>
      <c r="M41" s="150"/>
      <c r="N41" s="150"/>
      <c r="O41" s="399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s="4" customFormat="1" ht="30" customHeight="1">
      <c r="A42" s="537" t="s">
        <v>645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9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s="4" customFormat="1" ht="15" customHeight="1">
      <c r="A43" s="380" t="s">
        <v>1456</v>
      </c>
      <c r="B43" s="235"/>
      <c r="C43" s="353">
        <v>22.4</v>
      </c>
      <c r="D43" s="220">
        <v>22.4</v>
      </c>
      <c r="E43" s="231"/>
      <c r="F43" s="350">
        <v>7923</v>
      </c>
      <c r="G43" s="222">
        <v>633900</v>
      </c>
      <c r="H43" s="160"/>
      <c r="I43" s="145">
        <f t="shared" ref="I43:I48" si="9">$D$3</f>
        <v>0.35</v>
      </c>
      <c r="J43" s="350"/>
      <c r="K43" s="340">
        <f t="shared" ref="K43:K48" si="10">SUM(F43-(F43*I43))</f>
        <v>5149.9500000000007</v>
      </c>
      <c r="L43" s="331">
        <f t="shared" ref="L43:L48" si="11">H43*K43</f>
        <v>0</v>
      </c>
      <c r="M43" s="337" t="s">
        <v>767</v>
      </c>
      <c r="N43" s="336">
        <v>0.75</v>
      </c>
      <c r="O43" s="370">
        <v>129</v>
      </c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s="4" customFormat="1" ht="15" customHeight="1">
      <c r="A44" s="380" t="s">
        <v>1457</v>
      </c>
      <c r="B44" s="235"/>
      <c r="C44" s="219">
        <v>28</v>
      </c>
      <c r="D44" s="236">
        <v>28</v>
      </c>
      <c r="E44" s="231"/>
      <c r="F44" s="350">
        <v>8785</v>
      </c>
      <c r="G44" s="222">
        <v>702800</v>
      </c>
      <c r="H44" s="160"/>
      <c r="I44" s="145">
        <f t="shared" si="9"/>
        <v>0.35</v>
      </c>
      <c r="J44" s="350"/>
      <c r="K44" s="340">
        <f t="shared" si="10"/>
        <v>5710.25</v>
      </c>
      <c r="L44" s="331">
        <f t="shared" si="11"/>
        <v>0</v>
      </c>
      <c r="M44" s="337" t="s">
        <v>767</v>
      </c>
      <c r="N44" s="336">
        <v>0.75</v>
      </c>
      <c r="O44" s="370">
        <v>130</v>
      </c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s="4" customFormat="1" ht="15" customHeight="1">
      <c r="A45" s="380" t="s">
        <v>1458</v>
      </c>
      <c r="B45" s="235"/>
      <c r="C45" s="353">
        <v>33.5</v>
      </c>
      <c r="D45" s="220">
        <v>33.5</v>
      </c>
      <c r="E45" s="231"/>
      <c r="F45" s="350">
        <v>10319</v>
      </c>
      <c r="G45" s="222">
        <v>825600</v>
      </c>
      <c r="H45" s="160"/>
      <c r="I45" s="145">
        <f t="shared" si="9"/>
        <v>0.35</v>
      </c>
      <c r="J45" s="350"/>
      <c r="K45" s="340">
        <f t="shared" si="10"/>
        <v>6707.35</v>
      </c>
      <c r="L45" s="331">
        <f t="shared" si="11"/>
        <v>0</v>
      </c>
      <c r="M45" s="337" t="s">
        <v>767</v>
      </c>
      <c r="N45" s="336">
        <v>0.75</v>
      </c>
      <c r="O45" s="370">
        <v>130</v>
      </c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s="4" customFormat="1" ht="15" customHeight="1">
      <c r="A46" s="380" t="s">
        <v>1459</v>
      </c>
      <c r="B46" s="235"/>
      <c r="C46" s="219">
        <v>40</v>
      </c>
      <c r="D46" s="236">
        <v>40</v>
      </c>
      <c r="E46" s="231"/>
      <c r="F46" s="350">
        <v>11244</v>
      </c>
      <c r="G46" s="222">
        <v>899600</v>
      </c>
      <c r="H46" s="160"/>
      <c r="I46" s="145">
        <f t="shared" si="9"/>
        <v>0.35</v>
      </c>
      <c r="J46" s="350"/>
      <c r="K46" s="340">
        <f t="shared" si="10"/>
        <v>7308.6</v>
      </c>
      <c r="L46" s="331">
        <f t="shared" si="11"/>
        <v>0</v>
      </c>
      <c r="M46" s="337" t="s">
        <v>767</v>
      </c>
      <c r="N46" s="336">
        <v>0.75</v>
      </c>
      <c r="O46" s="370">
        <v>130</v>
      </c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s="4" customFormat="1" ht="15" customHeight="1">
      <c r="A47" s="380" t="s">
        <v>1460</v>
      </c>
      <c r="B47" s="235"/>
      <c r="C47" s="219">
        <v>45</v>
      </c>
      <c r="D47" s="219">
        <v>45</v>
      </c>
      <c r="E47" s="231"/>
      <c r="F47" s="350">
        <v>13753</v>
      </c>
      <c r="G47" s="222">
        <v>1100300</v>
      </c>
      <c r="H47" s="160"/>
      <c r="I47" s="145">
        <f t="shared" si="9"/>
        <v>0.35</v>
      </c>
      <c r="J47" s="350"/>
      <c r="K47" s="340">
        <f t="shared" si="10"/>
        <v>8939.4500000000007</v>
      </c>
      <c r="L47" s="331">
        <f t="shared" si="11"/>
        <v>0</v>
      </c>
      <c r="M47" s="337" t="s">
        <v>767</v>
      </c>
      <c r="N47" s="336">
        <v>0.75</v>
      </c>
      <c r="O47" s="370">
        <v>130</v>
      </c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s="4" customFormat="1" ht="15" customHeight="1">
      <c r="A48" s="380" t="s">
        <v>1461</v>
      </c>
      <c r="B48" s="235"/>
      <c r="C48" s="219">
        <v>50</v>
      </c>
      <c r="D48" s="219">
        <v>55</v>
      </c>
      <c r="E48" s="231"/>
      <c r="F48" s="350">
        <v>15403</v>
      </c>
      <c r="G48" s="222">
        <v>1232300</v>
      </c>
      <c r="H48" s="160"/>
      <c r="I48" s="145">
        <f t="shared" si="9"/>
        <v>0.35</v>
      </c>
      <c r="J48" s="350"/>
      <c r="K48" s="340">
        <f t="shared" si="10"/>
        <v>10011.950000000001</v>
      </c>
      <c r="L48" s="331">
        <f t="shared" si="11"/>
        <v>0</v>
      </c>
      <c r="M48" s="249" t="s">
        <v>547</v>
      </c>
      <c r="N48" s="336">
        <v>1.603</v>
      </c>
      <c r="O48" s="370">
        <v>299</v>
      </c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ht="30" customHeight="1">
      <c r="A49" s="652" t="s">
        <v>1462</v>
      </c>
      <c r="B49" s="653"/>
      <c r="C49" s="653"/>
      <c r="D49" s="653"/>
      <c r="E49" s="653"/>
      <c r="F49" s="653"/>
      <c r="G49" s="653"/>
      <c r="H49" s="653"/>
      <c r="I49" s="653"/>
      <c r="J49" s="653"/>
      <c r="K49" s="653"/>
      <c r="L49" s="250"/>
      <c r="M49" s="251"/>
      <c r="N49" s="251"/>
      <c r="O49" s="442"/>
      <c r="Q49" s="46"/>
      <c r="S49" s="46"/>
    </row>
    <row r="50" spans="1:48" s="36" customFormat="1" ht="39.75" customHeight="1">
      <c r="A50" s="537" t="s">
        <v>234</v>
      </c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539"/>
      <c r="P50" s="32"/>
      <c r="Q50" s="46"/>
      <c r="R50" s="32"/>
      <c r="S50" s="46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</row>
    <row r="51" spans="1:48" s="4" customFormat="1" ht="15" customHeight="1">
      <c r="A51" s="380" t="s">
        <v>221</v>
      </c>
      <c r="B51" s="252"/>
      <c r="C51" s="353">
        <v>22.4</v>
      </c>
      <c r="D51" s="219">
        <v>25</v>
      </c>
      <c r="E51" s="253"/>
      <c r="F51" s="350">
        <v>10931</v>
      </c>
      <c r="G51" s="222">
        <v>874500</v>
      </c>
      <c r="H51" s="223"/>
      <c r="I51" s="145">
        <f>$D$3</f>
        <v>0.35</v>
      </c>
      <c r="J51" s="350"/>
      <c r="K51" s="340">
        <f>SUM(F51-(F51*I51))</f>
        <v>7105.15</v>
      </c>
      <c r="L51" s="331">
        <f>H51*K51</f>
        <v>0</v>
      </c>
      <c r="M51" s="249" t="s">
        <v>546</v>
      </c>
      <c r="N51" s="336">
        <v>1.202</v>
      </c>
      <c r="O51" s="370">
        <v>282</v>
      </c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s="4" customFormat="1" ht="15" customHeight="1">
      <c r="A52" s="380" t="s">
        <v>222</v>
      </c>
      <c r="B52" s="252"/>
      <c r="C52" s="219">
        <v>28</v>
      </c>
      <c r="D52" s="353">
        <v>31.5</v>
      </c>
      <c r="E52" s="253"/>
      <c r="F52" s="350">
        <v>11727</v>
      </c>
      <c r="G52" s="222">
        <v>938200</v>
      </c>
      <c r="H52" s="223"/>
      <c r="I52" s="145">
        <f>$D$3</f>
        <v>0.35</v>
      </c>
      <c r="J52" s="350"/>
      <c r="K52" s="340">
        <f>SUM(F52-(F52*I52))</f>
        <v>7622.55</v>
      </c>
      <c r="L52" s="331">
        <f>H52*K52</f>
        <v>0</v>
      </c>
      <c r="M52" s="249" t="s">
        <v>546</v>
      </c>
      <c r="N52" s="336">
        <v>1.202</v>
      </c>
      <c r="O52" s="370">
        <v>282</v>
      </c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ht="15" customHeight="1">
      <c r="A53" s="380" t="s">
        <v>223</v>
      </c>
      <c r="B53" s="252"/>
      <c r="C53" s="353">
        <v>33.5</v>
      </c>
      <c r="D53" s="353">
        <v>37.5</v>
      </c>
      <c r="E53" s="253"/>
      <c r="F53" s="350">
        <v>14074</v>
      </c>
      <c r="G53" s="222">
        <v>1126000</v>
      </c>
      <c r="H53" s="223"/>
      <c r="I53" s="145">
        <f>$D$3</f>
        <v>0.35</v>
      </c>
      <c r="J53" s="350"/>
      <c r="K53" s="340">
        <f>SUM(F53-(F53*I53))</f>
        <v>9148.1</v>
      </c>
      <c r="L53" s="331">
        <f>H53*K53</f>
        <v>0</v>
      </c>
      <c r="M53" s="249" t="s">
        <v>546</v>
      </c>
      <c r="N53" s="336">
        <v>1.202</v>
      </c>
      <c r="O53" s="370">
        <v>282</v>
      </c>
      <c r="Q53" s="46"/>
      <c r="S53" s="46"/>
    </row>
    <row r="54" spans="1:48" ht="15" customHeight="1">
      <c r="A54" s="380" t="s">
        <v>224</v>
      </c>
      <c r="B54" s="252"/>
      <c r="C54" s="219">
        <v>40</v>
      </c>
      <c r="D54" s="219">
        <v>45</v>
      </c>
      <c r="E54" s="253"/>
      <c r="F54" s="350">
        <v>16509</v>
      </c>
      <c r="G54" s="222">
        <v>1320800</v>
      </c>
      <c r="H54" s="223"/>
      <c r="I54" s="145">
        <f>$D$3</f>
        <v>0.35</v>
      </c>
      <c r="J54" s="350"/>
      <c r="K54" s="340">
        <f>SUM(F54-(F54*I54))</f>
        <v>10730.85</v>
      </c>
      <c r="L54" s="331">
        <f>H54*K54</f>
        <v>0</v>
      </c>
      <c r="M54" s="249" t="s">
        <v>547</v>
      </c>
      <c r="N54" s="336">
        <v>1.603</v>
      </c>
      <c r="O54" s="370">
        <v>308</v>
      </c>
      <c r="P54" s="46"/>
      <c r="Q54" s="46"/>
      <c r="S54" s="46"/>
    </row>
    <row r="55" spans="1:48" s="2" customFormat="1" ht="15" customHeight="1">
      <c r="A55" s="380" t="s">
        <v>225</v>
      </c>
      <c r="B55" s="252"/>
      <c r="C55" s="219">
        <v>45</v>
      </c>
      <c r="D55" s="219">
        <v>50</v>
      </c>
      <c r="E55" s="253"/>
      <c r="F55" s="350">
        <v>18770</v>
      </c>
      <c r="G55" s="222">
        <v>1501600</v>
      </c>
      <c r="H55" s="223"/>
      <c r="I55" s="145">
        <f>$D$3</f>
        <v>0.35</v>
      </c>
      <c r="J55" s="350"/>
      <c r="K55" s="340">
        <f>SUM(F55-(F55*I55))</f>
        <v>12200.5</v>
      </c>
      <c r="L55" s="331">
        <f>H55*K55</f>
        <v>0</v>
      </c>
      <c r="M55" s="249" t="s">
        <v>547</v>
      </c>
      <c r="N55" s="336">
        <v>1.603</v>
      </c>
      <c r="O55" s="370">
        <v>308</v>
      </c>
      <c r="P55" s="46"/>
      <c r="Q55" s="46"/>
      <c r="R55" s="44"/>
      <c r="S55" s="46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</row>
    <row r="56" spans="1:48" ht="30" customHeight="1">
      <c r="A56" s="652" t="s">
        <v>1463</v>
      </c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250"/>
      <c r="M56" s="251"/>
      <c r="N56" s="251"/>
      <c r="O56" s="442"/>
      <c r="P56" s="92"/>
      <c r="Q56" s="46"/>
      <c r="R56" s="92"/>
      <c r="S56" s="46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</row>
    <row r="57" spans="1:48" s="36" customFormat="1" ht="39.75" customHeight="1">
      <c r="A57" s="537" t="s">
        <v>234</v>
      </c>
      <c r="B57" s="538"/>
      <c r="C57" s="538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9"/>
      <c r="P57" s="92"/>
      <c r="Q57" s="46"/>
      <c r="R57" s="92"/>
      <c r="S57" s="46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</row>
    <row r="58" spans="1:48" s="4" customFormat="1" ht="15" customHeight="1">
      <c r="A58" s="380" t="s">
        <v>1464</v>
      </c>
      <c r="B58" s="252"/>
      <c r="C58" s="353">
        <v>22.4</v>
      </c>
      <c r="D58" s="219">
        <v>25</v>
      </c>
      <c r="E58" s="253"/>
      <c r="F58" s="350">
        <v>10931</v>
      </c>
      <c r="G58" s="222">
        <v>874500</v>
      </c>
      <c r="H58" s="223"/>
      <c r="I58" s="145">
        <f>$D$3</f>
        <v>0.35</v>
      </c>
      <c r="J58" s="350"/>
      <c r="K58" s="340">
        <f>SUM(F58-(F58*I58))</f>
        <v>7105.15</v>
      </c>
      <c r="L58" s="331">
        <f>H58*K58</f>
        <v>0</v>
      </c>
      <c r="M58" s="249" t="s">
        <v>546</v>
      </c>
      <c r="N58" s="336">
        <v>1.202</v>
      </c>
      <c r="O58" s="370">
        <v>282</v>
      </c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s="4" customFormat="1" ht="15" customHeight="1">
      <c r="A59" s="380" t="s">
        <v>1465</v>
      </c>
      <c r="B59" s="252"/>
      <c r="C59" s="219">
        <v>28</v>
      </c>
      <c r="D59" s="353">
        <v>31.5</v>
      </c>
      <c r="E59" s="253"/>
      <c r="F59" s="350">
        <v>11727</v>
      </c>
      <c r="G59" s="222">
        <v>938200</v>
      </c>
      <c r="H59" s="223"/>
      <c r="I59" s="145">
        <f>$D$3</f>
        <v>0.35</v>
      </c>
      <c r="J59" s="350"/>
      <c r="K59" s="340">
        <f>SUM(F59-(F59*I59))</f>
        <v>7622.55</v>
      </c>
      <c r="L59" s="331">
        <f>H59*K59</f>
        <v>0</v>
      </c>
      <c r="M59" s="249" t="s">
        <v>546</v>
      </c>
      <c r="N59" s="336">
        <v>1.202</v>
      </c>
      <c r="O59" s="370">
        <v>282</v>
      </c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ht="15" customHeight="1">
      <c r="A60" s="380" t="s">
        <v>1466</v>
      </c>
      <c r="B60" s="252"/>
      <c r="C60" s="353">
        <v>33.5</v>
      </c>
      <c r="D60" s="353">
        <v>37.5</v>
      </c>
      <c r="E60" s="253"/>
      <c r="F60" s="350">
        <v>14074</v>
      </c>
      <c r="G60" s="222">
        <v>1126000</v>
      </c>
      <c r="H60" s="223"/>
      <c r="I60" s="145">
        <f>$D$3</f>
        <v>0.35</v>
      </c>
      <c r="J60" s="350"/>
      <c r="K60" s="340">
        <f>SUM(F60-(F60*I60))</f>
        <v>9148.1</v>
      </c>
      <c r="L60" s="331">
        <f>H60*K60</f>
        <v>0</v>
      </c>
      <c r="M60" s="249" t="s">
        <v>546</v>
      </c>
      <c r="N60" s="336">
        <v>1.202</v>
      </c>
      <c r="O60" s="370">
        <v>282</v>
      </c>
      <c r="P60" s="92"/>
      <c r="Q60" s="46"/>
      <c r="R60" s="92"/>
      <c r="S60" s="46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</row>
    <row r="61" spans="1:48" ht="15" customHeight="1">
      <c r="A61" s="380" t="s">
        <v>1467</v>
      </c>
      <c r="B61" s="252"/>
      <c r="C61" s="219">
        <v>40</v>
      </c>
      <c r="D61" s="219">
        <v>45</v>
      </c>
      <c r="E61" s="253"/>
      <c r="F61" s="350">
        <v>16509</v>
      </c>
      <c r="G61" s="222">
        <v>1320800</v>
      </c>
      <c r="H61" s="223"/>
      <c r="I61" s="145">
        <f>$D$3</f>
        <v>0.35</v>
      </c>
      <c r="J61" s="350"/>
      <c r="K61" s="340">
        <f>SUM(F61-(F61*I61))</f>
        <v>10730.85</v>
      </c>
      <c r="L61" s="331">
        <f>H61*K61</f>
        <v>0</v>
      </c>
      <c r="M61" s="249" t="s">
        <v>547</v>
      </c>
      <c r="N61" s="336">
        <v>1.603</v>
      </c>
      <c r="O61" s="370">
        <v>308</v>
      </c>
      <c r="P61" s="46"/>
      <c r="Q61" s="46"/>
      <c r="R61" s="92"/>
      <c r="S61" s="46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</row>
    <row r="62" spans="1:48" s="2" customFormat="1" ht="15" customHeight="1">
      <c r="A62" s="380" t="s">
        <v>1468</v>
      </c>
      <c r="B62" s="252"/>
      <c r="C62" s="219">
        <v>45</v>
      </c>
      <c r="D62" s="219">
        <v>50</v>
      </c>
      <c r="E62" s="253"/>
      <c r="F62" s="350">
        <v>18770</v>
      </c>
      <c r="G62" s="222">
        <v>1501600</v>
      </c>
      <c r="H62" s="223"/>
      <c r="I62" s="145">
        <f>$D$3</f>
        <v>0.35</v>
      </c>
      <c r="J62" s="350"/>
      <c r="K62" s="340">
        <f>SUM(F62-(F62*I62))</f>
        <v>12200.5</v>
      </c>
      <c r="L62" s="331">
        <f>H62*K62</f>
        <v>0</v>
      </c>
      <c r="M62" s="249" t="s">
        <v>547</v>
      </c>
      <c r="N62" s="336">
        <v>1.603</v>
      </c>
      <c r="O62" s="370">
        <v>308</v>
      </c>
      <c r="P62" s="46"/>
      <c r="Q62" s="46"/>
      <c r="R62" s="44"/>
      <c r="S62" s="46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</row>
    <row r="63" spans="1:48" ht="47.25" customHeight="1">
      <c r="A63" s="652" t="s">
        <v>1469</v>
      </c>
      <c r="B63" s="653"/>
      <c r="C63" s="653"/>
      <c r="D63" s="653"/>
      <c r="E63" s="653"/>
      <c r="F63" s="653"/>
      <c r="G63" s="653"/>
      <c r="H63" s="653"/>
      <c r="I63" s="653"/>
      <c r="J63" s="653"/>
      <c r="K63" s="653"/>
      <c r="L63" s="149"/>
      <c r="M63" s="150"/>
      <c r="N63" s="150"/>
      <c r="O63" s="399"/>
      <c r="P63" s="55"/>
      <c r="Q63" s="46"/>
      <c r="R63" s="55"/>
      <c r="S63" s="46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</row>
    <row r="64" spans="1:48" s="36" customFormat="1" ht="30" customHeight="1">
      <c r="A64" s="537" t="s">
        <v>166</v>
      </c>
      <c r="B64" s="538"/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  <c r="O64" s="539"/>
      <c r="P64" s="55"/>
      <c r="Q64" s="46"/>
      <c r="R64" s="55"/>
      <c r="S64" s="46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</row>
    <row r="65" spans="1:48" s="88" customFormat="1" ht="16.5" customHeight="1">
      <c r="A65" s="382" t="s">
        <v>570</v>
      </c>
      <c r="B65" s="235"/>
      <c r="C65" s="353">
        <v>22.4</v>
      </c>
      <c r="D65" s="236">
        <v>25</v>
      </c>
      <c r="E65" s="231"/>
      <c r="F65" s="350">
        <v>9735</v>
      </c>
      <c r="G65" s="222">
        <v>778800</v>
      </c>
      <c r="H65" s="160"/>
      <c r="I65" s="145">
        <f t="shared" ref="I65:I70" si="12">$D$3</f>
        <v>0.35</v>
      </c>
      <c r="J65" s="350"/>
      <c r="K65" s="340">
        <f t="shared" ref="K65:K70" si="13">SUM(F65-(F65*I65))</f>
        <v>6327.75</v>
      </c>
      <c r="L65" s="331">
        <f t="shared" ref="L65:L70" si="14">H65*K65</f>
        <v>0</v>
      </c>
      <c r="M65" s="249" t="s">
        <v>546</v>
      </c>
      <c r="N65" s="336">
        <v>1.202</v>
      </c>
      <c r="O65" s="370">
        <v>273</v>
      </c>
      <c r="P65" s="87"/>
      <c r="Q65" s="46"/>
      <c r="R65" s="87"/>
      <c r="S65" s="46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</row>
    <row r="66" spans="1:48" s="88" customFormat="1" ht="16.5" customHeight="1">
      <c r="A66" s="382" t="s">
        <v>571</v>
      </c>
      <c r="B66" s="235"/>
      <c r="C66" s="219">
        <v>28</v>
      </c>
      <c r="D66" s="220">
        <v>31.5</v>
      </c>
      <c r="E66" s="231"/>
      <c r="F66" s="350">
        <v>10795</v>
      </c>
      <c r="G66" s="222">
        <v>863600</v>
      </c>
      <c r="H66" s="160"/>
      <c r="I66" s="145">
        <f t="shared" si="12"/>
        <v>0.35</v>
      </c>
      <c r="J66" s="350"/>
      <c r="K66" s="340">
        <f t="shared" si="13"/>
        <v>7016.75</v>
      </c>
      <c r="L66" s="331">
        <f t="shared" si="14"/>
        <v>0</v>
      </c>
      <c r="M66" s="249" t="s">
        <v>546</v>
      </c>
      <c r="N66" s="336">
        <v>1.202</v>
      </c>
      <c r="O66" s="370">
        <v>273</v>
      </c>
      <c r="P66" s="87"/>
      <c r="Q66" s="46"/>
      <c r="R66" s="87"/>
      <c r="S66" s="46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</row>
    <row r="67" spans="1:48" ht="16.5" customHeight="1">
      <c r="A67" s="382" t="s">
        <v>566</v>
      </c>
      <c r="B67" s="235"/>
      <c r="C67" s="353">
        <v>33.5</v>
      </c>
      <c r="D67" s="220">
        <v>37.5</v>
      </c>
      <c r="E67" s="231"/>
      <c r="F67" s="350">
        <v>12681</v>
      </c>
      <c r="G67" s="222">
        <v>1014500</v>
      </c>
      <c r="H67" s="160"/>
      <c r="I67" s="145">
        <f t="shared" si="12"/>
        <v>0.35</v>
      </c>
      <c r="J67" s="350"/>
      <c r="K67" s="340">
        <f t="shared" si="13"/>
        <v>8242.6500000000015</v>
      </c>
      <c r="L67" s="331">
        <f t="shared" si="14"/>
        <v>0</v>
      </c>
      <c r="M67" s="249" t="s">
        <v>547</v>
      </c>
      <c r="N67" s="336">
        <v>1.603</v>
      </c>
      <c r="O67" s="370">
        <v>299</v>
      </c>
      <c r="P67" s="55"/>
      <c r="Q67" s="46"/>
      <c r="R67" s="55"/>
      <c r="S67" s="46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</row>
    <row r="68" spans="1:48" ht="16.5" customHeight="1">
      <c r="A68" s="382" t="s">
        <v>567</v>
      </c>
      <c r="B68" s="235"/>
      <c r="C68" s="219">
        <v>40</v>
      </c>
      <c r="D68" s="236">
        <v>45</v>
      </c>
      <c r="E68" s="231"/>
      <c r="F68" s="350">
        <v>13816</v>
      </c>
      <c r="G68" s="222">
        <v>1105300</v>
      </c>
      <c r="H68" s="160"/>
      <c r="I68" s="145">
        <f t="shared" si="12"/>
        <v>0.35</v>
      </c>
      <c r="J68" s="350"/>
      <c r="K68" s="340">
        <f t="shared" si="13"/>
        <v>8980.4000000000015</v>
      </c>
      <c r="L68" s="331">
        <f t="shared" si="14"/>
        <v>0</v>
      </c>
      <c r="M68" s="249" t="s">
        <v>547</v>
      </c>
      <c r="N68" s="336">
        <v>1.603</v>
      </c>
      <c r="O68" s="370">
        <v>299</v>
      </c>
      <c r="P68" s="55"/>
      <c r="Q68" s="46"/>
      <c r="R68" s="55"/>
      <c r="S68" s="46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</row>
    <row r="69" spans="1:48" s="2" customFormat="1" ht="16.5" customHeight="1">
      <c r="A69" s="382" t="s">
        <v>568</v>
      </c>
      <c r="B69" s="235"/>
      <c r="C69" s="219">
        <v>45</v>
      </c>
      <c r="D69" s="236">
        <v>50</v>
      </c>
      <c r="E69" s="231"/>
      <c r="F69" s="350">
        <v>16900</v>
      </c>
      <c r="G69" s="222">
        <v>1352000</v>
      </c>
      <c r="H69" s="160"/>
      <c r="I69" s="145">
        <f t="shared" si="12"/>
        <v>0.35</v>
      </c>
      <c r="J69" s="350"/>
      <c r="K69" s="340">
        <f t="shared" si="13"/>
        <v>10985</v>
      </c>
      <c r="L69" s="331">
        <f t="shared" si="14"/>
        <v>0</v>
      </c>
      <c r="M69" s="249" t="s">
        <v>547</v>
      </c>
      <c r="N69" s="336">
        <v>1.603</v>
      </c>
      <c r="O69" s="370">
        <v>299</v>
      </c>
      <c r="P69" s="44"/>
      <c r="Q69" s="46"/>
      <c r="R69" s="44"/>
      <c r="S69" s="46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</row>
    <row r="70" spans="1:48" s="2" customFormat="1" ht="19.5" customHeight="1">
      <c r="A70" s="382" t="s">
        <v>569</v>
      </c>
      <c r="B70" s="235"/>
      <c r="C70" s="219">
        <v>50</v>
      </c>
      <c r="D70" s="236">
        <v>50</v>
      </c>
      <c r="E70" s="231"/>
      <c r="F70" s="350">
        <v>18927</v>
      </c>
      <c r="G70" s="222">
        <v>1514200</v>
      </c>
      <c r="H70" s="254"/>
      <c r="I70" s="145">
        <f t="shared" si="12"/>
        <v>0.35</v>
      </c>
      <c r="J70" s="350"/>
      <c r="K70" s="340">
        <f t="shared" si="13"/>
        <v>12302.55</v>
      </c>
      <c r="L70" s="331">
        <f t="shared" si="14"/>
        <v>0</v>
      </c>
      <c r="M70" s="249" t="s">
        <v>547</v>
      </c>
      <c r="N70" s="336">
        <v>1.603</v>
      </c>
      <c r="O70" s="370">
        <v>299</v>
      </c>
      <c r="P70" s="44"/>
      <c r="Q70" s="46"/>
      <c r="R70" s="44"/>
      <c r="S70" s="46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</row>
    <row r="71" spans="1:48" ht="47.25" customHeight="1">
      <c r="A71" s="652" t="s">
        <v>173</v>
      </c>
      <c r="B71" s="653"/>
      <c r="C71" s="653"/>
      <c r="D71" s="653"/>
      <c r="E71" s="653"/>
      <c r="F71" s="653"/>
      <c r="G71" s="653"/>
      <c r="H71" s="653"/>
      <c r="I71" s="653"/>
      <c r="J71" s="653"/>
      <c r="K71" s="653"/>
      <c r="L71" s="653"/>
      <c r="M71" s="653"/>
      <c r="N71" s="653"/>
      <c r="O71" s="796"/>
      <c r="P71" s="55"/>
      <c r="Q71" s="46"/>
      <c r="R71" s="55"/>
      <c r="S71" s="46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</row>
    <row r="72" spans="1:48" s="36" customFormat="1" ht="30" customHeight="1">
      <c r="A72" s="537" t="s">
        <v>174</v>
      </c>
      <c r="B72" s="538"/>
      <c r="C72" s="538"/>
      <c r="D72" s="538"/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9"/>
      <c r="P72" s="55"/>
      <c r="Q72" s="46"/>
      <c r="R72" s="55"/>
      <c r="S72" s="46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</row>
    <row r="73" spans="1:48" ht="21" customHeight="1">
      <c r="A73" s="380" t="s">
        <v>1527</v>
      </c>
      <c r="B73" s="255"/>
      <c r="C73" s="353">
        <v>1.1000000000000001</v>
      </c>
      <c r="D73" s="353">
        <v>1.3</v>
      </c>
      <c r="E73" s="231"/>
      <c r="F73" s="350">
        <v>805</v>
      </c>
      <c r="G73" s="222">
        <v>64400</v>
      </c>
      <c r="H73" s="223"/>
      <c r="I73" s="145">
        <f t="shared" ref="I73:I88" si="15">$D$3</f>
        <v>0.35</v>
      </c>
      <c r="J73" s="350"/>
      <c r="K73" s="340">
        <f t="shared" ref="K73:K81" si="16">SUM(F73-(F73*I73))</f>
        <v>523.25</v>
      </c>
      <c r="L73" s="331">
        <f>H73*K73</f>
        <v>0</v>
      </c>
      <c r="M73" s="256" t="s">
        <v>352</v>
      </c>
      <c r="N73" s="336">
        <v>0.09</v>
      </c>
      <c r="O73" s="367">
        <v>12</v>
      </c>
      <c r="P73" s="92"/>
      <c r="Q73" s="46"/>
      <c r="R73" s="92"/>
      <c r="S73" s="46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</row>
    <row r="74" spans="1:48" ht="21" customHeight="1">
      <c r="A74" s="380" t="s">
        <v>1528</v>
      </c>
      <c r="B74" s="255"/>
      <c r="C74" s="353">
        <v>2.2000000000000002</v>
      </c>
      <c r="D74" s="353">
        <v>2.8</v>
      </c>
      <c r="E74" s="231"/>
      <c r="F74" s="350">
        <v>846</v>
      </c>
      <c r="G74" s="222">
        <v>67700</v>
      </c>
      <c r="H74" s="223"/>
      <c r="I74" s="145">
        <f t="shared" si="15"/>
        <v>0.35</v>
      </c>
      <c r="J74" s="350"/>
      <c r="K74" s="340">
        <f t="shared" si="16"/>
        <v>549.90000000000009</v>
      </c>
      <c r="L74" s="331">
        <f>H74*K74</f>
        <v>0</v>
      </c>
      <c r="M74" s="256" t="s">
        <v>352</v>
      </c>
      <c r="N74" s="336">
        <v>0.09</v>
      </c>
      <c r="O74" s="367">
        <v>12</v>
      </c>
      <c r="P74" s="92"/>
      <c r="Q74" s="46"/>
      <c r="R74" s="92"/>
      <c r="S74" s="46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</row>
    <row r="75" spans="1:48" ht="21" customHeight="1">
      <c r="A75" s="380" t="s">
        <v>1532</v>
      </c>
      <c r="B75" s="255"/>
      <c r="C75" s="353">
        <v>2.8</v>
      </c>
      <c r="D75" s="353">
        <v>3.2</v>
      </c>
      <c r="E75" s="231"/>
      <c r="F75" s="350">
        <v>899</v>
      </c>
      <c r="G75" s="222">
        <v>72000</v>
      </c>
      <c r="H75" s="223"/>
      <c r="I75" s="145">
        <f t="shared" si="15"/>
        <v>0.35</v>
      </c>
      <c r="J75" s="350"/>
      <c r="K75" s="340">
        <f t="shared" si="16"/>
        <v>584.35</v>
      </c>
      <c r="L75" s="331">
        <f t="shared" ref="L75:L81" si="17">H75*K75</f>
        <v>0</v>
      </c>
      <c r="M75" s="256" t="s">
        <v>352</v>
      </c>
      <c r="N75" s="336">
        <v>0.09</v>
      </c>
      <c r="O75" s="367">
        <v>12</v>
      </c>
      <c r="P75" s="92"/>
      <c r="Q75" s="46"/>
      <c r="R75" s="92"/>
      <c r="S75" s="46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</row>
    <row r="76" spans="1:48" ht="21" customHeight="1">
      <c r="A76" s="380" t="s">
        <v>1529</v>
      </c>
      <c r="B76" s="255"/>
      <c r="C76" s="353">
        <v>3.6</v>
      </c>
      <c r="D76" s="353">
        <v>4.0999999999999996</v>
      </c>
      <c r="E76" s="231"/>
      <c r="F76" s="350">
        <v>922</v>
      </c>
      <c r="G76" s="222">
        <v>73800</v>
      </c>
      <c r="H76" s="223"/>
      <c r="I76" s="145">
        <f t="shared" si="15"/>
        <v>0.35</v>
      </c>
      <c r="J76" s="350"/>
      <c r="K76" s="340">
        <f t="shared" si="16"/>
        <v>599.29999999999995</v>
      </c>
      <c r="L76" s="331">
        <f t="shared" si="17"/>
        <v>0</v>
      </c>
      <c r="M76" s="256" t="s">
        <v>352</v>
      </c>
      <c r="N76" s="336">
        <v>0.09</v>
      </c>
      <c r="O76" s="367">
        <v>12</v>
      </c>
      <c r="P76" s="92"/>
      <c r="Q76" s="46"/>
      <c r="R76" s="92"/>
      <c r="S76" s="46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</row>
    <row r="77" spans="1:48" ht="21" customHeight="1">
      <c r="A77" s="380" t="s">
        <v>1531</v>
      </c>
      <c r="B77" s="255"/>
      <c r="C77" s="353">
        <v>4.5</v>
      </c>
      <c r="D77" s="219">
        <v>5</v>
      </c>
      <c r="E77" s="231"/>
      <c r="F77" s="350">
        <v>1042</v>
      </c>
      <c r="G77" s="222">
        <v>83400</v>
      </c>
      <c r="H77" s="223"/>
      <c r="I77" s="145">
        <f t="shared" si="15"/>
        <v>0.35</v>
      </c>
      <c r="J77" s="350"/>
      <c r="K77" s="340">
        <f t="shared" si="16"/>
        <v>677.3</v>
      </c>
      <c r="L77" s="331">
        <f t="shared" si="17"/>
        <v>0</v>
      </c>
      <c r="M77" s="256" t="s">
        <v>352</v>
      </c>
      <c r="N77" s="336">
        <v>0.09</v>
      </c>
      <c r="O77" s="367">
        <v>12</v>
      </c>
      <c r="P77" s="92"/>
      <c r="Q77" s="46"/>
      <c r="R77" s="92"/>
      <c r="S77" s="46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</row>
    <row r="78" spans="1:48" ht="21" customHeight="1">
      <c r="A78" s="380" t="s">
        <v>1530</v>
      </c>
      <c r="B78" s="255"/>
      <c r="C78" s="353">
        <v>5.6</v>
      </c>
      <c r="D78" s="353">
        <v>6.3</v>
      </c>
      <c r="E78" s="231"/>
      <c r="F78" s="350">
        <v>1001</v>
      </c>
      <c r="G78" s="222">
        <v>80100</v>
      </c>
      <c r="H78" s="223"/>
      <c r="I78" s="145">
        <f t="shared" si="15"/>
        <v>0.35</v>
      </c>
      <c r="J78" s="350"/>
      <c r="K78" s="340">
        <f t="shared" si="16"/>
        <v>650.65000000000009</v>
      </c>
      <c r="L78" s="331">
        <f t="shared" si="17"/>
        <v>0</v>
      </c>
      <c r="M78" s="256" t="s">
        <v>353</v>
      </c>
      <c r="N78" s="336">
        <v>0.184</v>
      </c>
      <c r="O78" s="367">
        <v>19</v>
      </c>
      <c r="P78" s="92"/>
      <c r="Q78" s="46"/>
      <c r="R78" s="92"/>
      <c r="S78" s="46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</row>
    <row r="79" spans="1:48" ht="21" customHeight="1">
      <c r="A79" s="380" t="s">
        <v>1533</v>
      </c>
      <c r="B79" s="255"/>
      <c r="C79" s="353">
        <v>7.1</v>
      </c>
      <c r="D79" s="219">
        <v>8</v>
      </c>
      <c r="E79" s="231"/>
      <c r="F79" s="350">
        <v>1075</v>
      </c>
      <c r="G79" s="222">
        <v>86000</v>
      </c>
      <c r="H79" s="223"/>
      <c r="I79" s="145">
        <f t="shared" si="15"/>
        <v>0.35</v>
      </c>
      <c r="J79" s="350"/>
      <c r="K79" s="340">
        <f t="shared" si="16"/>
        <v>698.75</v>
      </c>
      <c r="L79" s="331">
        <f t="shared" si="17"/>
        <v>0</v>
      </c>
      <c r="M79" s="256" t="s">
        <v>353</v>
      </c>
      <c r="N79" s="336">
        <v>0.184</v>
      </c>
      <c r="O79" s="367">
        <v>19</v>
      </c>
      <c r="P79" s="92"/>
      <c r="Q79" s="46"/>
      <c r="R79" s="92"/>
      <c r="S79" s="46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</row>
    <row r="80" spans="1:48" ht="21" customHeight="1">
      <c r="A80" s="380" t="s">
        <v>1534</v>
      </c>
      <c r="B80" s="255"/>
      <c r="C80" s="257">
        <v>8</v>
      </c>
      <c r="D80" s="257">
        <v>9</v>
      </c>
      <c r="E80" s="231"/>
      <c r="F80" s="350">
        <v>1195</v>
      </c>
      <c r="G80" s="222">
        <v>95600</v>
      </c>
      <c r="H80" s="223"/>
      <c r="I80" s="145">
        <f t="shared" si="15"/>
        <v>0.35</v>
      </c>
      <c r="J80" s="350"/>
      <c r="K80" s="340">
        <f t="shared" si="16"/>
        <v>776.75</v>
      </c>
      <c r="L80" s="331">
        <f t="shared" si="17"/>
        <v>0</v>
      </c>
      <c r="M80" s="256" t="s">
        <v>353</v>
      </c>
      <c r="N80" s="336">
        <v>0.184</v>
      </c>
      <c r="O80" s="367">
        <v>19</v>
      </c>
      <c r="P80" s="92"/>
      <c r="Q80" s="46"/>
      <c r="R80" s="92"/>
      <c r="S80" s="46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</row>
    <row r="81" spans="1:48" ht="21" customHeight="1">
      <c r="A81" s="380" t="s">
        <v>1535</v>
      </c>
      <c r="B81" s="255"/>
      <c r="C81" s="257">
        <v>9</v>
      </c>
      <c r="D81" s="257">
        <v>10</v>
      </c>
      <c r="E81" s="231"/>
      <c r="F81" s="350">
        <v>1350</v>
      </c>
      <c r="G81" s="222">
        <v>108000</v>
      </c>
      <c r="H81" s="223"/>
      <c r="I81" s="145">
        <f t="shared" si="15"/>
        <v>0.35</v>
      </c>
      <c r="J81" s="350"/>
      <c r="K81" s="340">
        <f t="shared" si="16"/>
        <v>877.5</v>
      </c>
      <c r="L81" s="331">
        <f t="shared" si="17"/>
        <v>0</v>
      </c>
      <c r="M81" s="256" t="s">
        <v>758</v>
      </c>
      <c r="N81" s="336">
        <v>0.11</v>
      </c>
      <c r="O81" s="367">
        <v>24</v>
      </c>
      <c r="P81" s="92"/>
      <c r="Q81" s="46"/>
      <c r="R81" s="92"/>
      <c r="S81" s="46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</row>
    <row r="82" spans="1:48" ht="21" customHeight="1">
      <c r="A82" s="380" t="s">
        <v>1470</v>
      </c>
      <c r="B82" s="255"/>
      <c r="C82" s="353">
        <v>1.1000000000000001</v>
      </c>
      <c r="D82" s="353">
        <v>1.3</v>
      </c>
      <c r="E82" s="231"/>
      <c r="F82" s="350">
        <v>805</v>
      </c>
      <c r="G82" s="222">
        <v>64400</v>
      </c>
      <c r="H82" s="223"/>
      <c r="I82" s="145">
        <f t="shared" si="15"/>
        <v>0.35</v>
      </c>
      <c r="J82" s="350"/>
      <c r="K82" s="340">
        <f t="shared" ref="K82:K88" si="18">SUM(F82-(F82*I82))</f>
        <v>523.25</v>
      </c>
      <c r="L82" s="331">
        <f>H82*K82</f>
        <v>0</v>
      </c>
      <c r="M82" s="256" t="s">
        <v>352</v>
      </c>
      <c r="N82" s="336">
        <v>0.09</v>
      </c>
      <c r="O82" s="367">
        <v>12</v>
      </c>
      <c r="P82" s="92"/>
      <c r="Q82" s="46"/>
      <c r="R82" s="92"/>
      <c r="S82" s="46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</row>
    <row r="83" spans="1:48" ht="21" customHeight="1">
      <c r="A83" s="380" t="s">
        <v>1471</v>
      </c>
      <c r="B83" s="255"/>
      <c r="C83" s="353">
        <v>2.2000000000000002</v>
      </c>
      <c r="D83" s="353">
        <v>2.8</v>
      </c>
      <c r="E83" s="231"/>
      <c r="F83" s="350">
        <v>846</v>
      </c>
      <c r="G83" s="222">
        <v>67700</v>
      </c>
      <c r="H83" s="223"/>
      <c r="I83" s="145">
        <f t="shared" si="15"/>
        <v>0.35</v>
      </c>
      <c r="J83" s="350"/>
      <c r="K83" s="340">
        <f t="shared" si="18"/>
        <v>549.90000000000009</v>
      </c>
      <c r="L83" s="331">
        <f>H83*K83</f>
        <v>0</v>
      </c>
      <c r="M83" s="256" t="s">
        <v>352</v>
      </c>
      <c r="N83" s="336">
        <v>0.09</v>
      </c>
      <c r="O83" s="367">
        <v>12</v>
      </c>
      <c r="P83" s="92"/>
      <c r="Q83" s="46"/>
      <c r="R83" s="92"/>
      <c r="S83" s="46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</row>
    <row r="84" spans="1:48" ht="21" customHeight="1">
      <c r="A84" s="380" t="s">
        <v>1472</v>
      </c>
      <c r="B84" s="255"/>
      <c r="C84" s="353">
        <v>2.8</v>
      </c>
      <c r="D84" s="353">
        <v>3.2</v>
      </c>
      <c r="E84" s="231"/>
      <c r="F84" s="350">
        <v>899</v>
      </c>
      <c r="G84" s="222">
        <v>72000</v>
      </c>
      <c r="H84" s="223"/>
      <c r="I84" s="145">
        <f t="shared" si="15"/>
        <v>0.35</v>
      </c>
      <c r="J84" s="350"/>
      <c r="K84" s="340">
        <f t="shared" si="18"/>
        <v>584.35</v>
      </c>
      <c r="L84" s="331">
        <f t="shared" ref="L84:L88" si="19">H84*K84</f>
        <v>0</v>
      </c>
      <c r="M84" s="256" t="s">
        <v>352</v>
      </c>
      <c r="N84" s="336">
        <v>0.09</v>
      </c>
      <c r="O84" s="367">
        <v>12</v>
      </c>
      <c r="P84" s="92"/>
      <c r="Q84" s="46"/>
      <c r="R84" s="92"/>
      <c r="S84" s="46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</row>
    <row r="85" spans="1:48" ht="21" customHeight="1">
      <c r="A85" s="380" t="s">
        <v>1473</v>
      </c>
      <c r="B85" s="255"/>
      <c r="C85" s="353">
        <v>3.6</v>
      </c>
      <c r="D85" s="353">
        <v>4.0999999999999996</v>
      </c>
      <c r="E85" s="231"/>
      <c r="F85" s="350">
        <v>922</v>
      </c>
      <c r="G85" s="222">
        <v>73800</v>
      </c>
      <c r="H85" s="223"/>
      <c r="I85" s="145">
        <f t="shared" si="15"/>
        <v>0.35</v>
      </c>
      <c r="J85" s="350"/>
      <c r="K85" s="340">
        <f t="shared" si="18"/>
        <v>599.29999999999995</v>
      </c>
      <c r="L85" s="331">
        <f t="shared" si="19"/>
        <v>0</v>
      </c>
      <c r="M85" s="256" t="s">
        <v>352</v>
      </c>
      <c r="N85" s="336">
        <v>0.09</v>
      </c>
      <c r="O85" s="367">
        <v>12</v>
      </c>
      <c r="P85" s="92"/>
      <c r="Q85" s="46"/>
      <c r="R85" s="92"/>
      <c r="S85" s="46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</row>
    <row r="86" spans="1:48" ht="21" customHeight="1">
      <c r="A86" s="380" t="s">
        <v>1474</v>
      </c>
      <c r="B86" s="255"/>
      <c r="C86" s="353">
        <v>4.5</v>
      </c>
      <c r="D86" s="219">
        <v>5</v>
      </c>
      <c r="E86" s="231"/>
      <c r="F86" s="350">
        <v>1042</v>
      </c>
      <c r="G86" s="222">
        <v>83400</v>
      </c>
      <c r="H86" s="223"/>
      <c r="I86" s="145">
        <f t="shared" si="15"/>
        <v>0.35</v>
      </c>
      <c r="J86" s="350"/>
      <c r="K86" s="340">
        <f t="shared" si="18"/>
        <v>677.3</v>
      </c>
      <c r="L86" s="331">
        <f t="shared" si="19"/>
        <v>0</v>
      </c>
      <c r="M86" s="256" t="s">
        <v>352</v>
      </c>
      <c r="N86" s="336">
        <v>0.09</v>
      </c>
      <c r="O86" s="367">
        <v>12</v>
      </c>
      <c r="P86" s="92"/>
      <c r="Q86" s="46"/>
      <c r="R86" s="92"/>
      <c r="S86" s="46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</row>
    <row r="87" spans="1:48" ht="21" customHeight="1">
      <c r="A87" s="380" t="s">
        <v>1475</v>
      </c>
      <c r="B87" s="255"/>
      <c r="C87" s="257">
        <v>8</v>
      </c>
      <c r="D87" s="257">
        <v>9</v>
      </c>
      <c r="E87" s="231"/>
      <c r="F87" s="350">
        <v>1195</v>
      </c>
      <c r="G87" s="222">
        <v>95600</v>
      </c>
      <c r="H87" s="223"/>
      <c r="I87" s="145">
        <f t="shared" si="15"/>
        <v>0.35</v>
      </c>
      <c r="J87" s="350"/>
      <c r="K87" s="340">
        <f t="shared" si="18"/>
        <v>776.75</v>
      </c>
      <c r="L87" s="331">
        <f t="shared" si="19"/>
        <v>0</v>
      </c>
      <c r="M87" s="256" t="s">
        <v>353</v>
      </c>
      <c r="N87" s="336">
        <v>0.184</v>
      </c>
      <c r="O87" s="367">
        <v>19</v>
      </c>
      <c r="P87" s="92"/>
      <c r="Q87" s="46"/>
      <c r="R87" s="92"/>
      <c r="S87" s="46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</row>
    <row r="88" spans="1:48" ht="21" customHeight="1">
      <c r="A88" s="380" t="s">
        <v>1476</v>
      </c>
      <c r="B88" s="255"/>
      <c r="C88" s="257">
        <v>9</v>
      </c>
      <c r="D88" s="257">
        <v>10</v>
      </c>
      <c r="E88" s="231"/>
      <c r="F88" s="350">
        <v>1350</v>
      </c>
      <c r="G88" s="222">
        <v>108000</v>
      </c>
      <c r="H88" s="223"/>
      <c r="I88" s="145">
        <f t="shared" si="15"/>
        <v>0.35</v>
      </c>
      <c r="J88" s="350"/>
      <c r="K88" s="340">
        <f t="shared" si="18"/>
        <v>877.5</v>
      </c>
      <c r="L88" s="331">
        <f t="shared" si="19"/>
        <v>0</v>
      </c>
      <c r="M88" s="256" t="s">
        <v>758</v>
      </c>
      <c r="N88" s="336">
        <v>0.11</v>
      </c>
      <c r="O88" s="367">
        <v>24</v>
      </c>
      <c r="P88" s="92"/>
      <c r="Q88" s="46"/>
      <c r="R88" s="92"/>
      <c r="S88" s="46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</row>
    <row r="89" spans="1:48" ht="21.75" customHeight="1">
      <c r="A89" s="848" t="s">
        <v>175</v>
      </c>
      <c r="B89" s="849"/>
      <c r="C89" s="849"/>
      <c r="D89" s="849"/>
      <c r="E89" s="849"/>
      <c r="F89" s="849"/>
      <c r="G89" s="849"/>
      <c r="H89" s="849"/>
      <c r="I89" s="849"/>
      <c r="J89" s="849"/>
      <c r="K89" s="849"/>
      <c r="L89" s="849"/>
      <c r="M89" s="849"/>
      <c r="N89" s="849"/>
      <c r="O89" s="850"/>
      <c r="Q89" s="46"/>
      <c r="S89" s="46"/>
    </row>
    <row r="90" spans="1:48" s="36" customFormat="1" ht="30" customHeight="1">
      <c r="A90" s="537" t="s">
        <v>174</v>
      </c>
      <c r="B90" s="538"/>
      <c r="C90" s="538"/>
      <c r="D90" s="538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9"/>
      <c r="P90" s="32"/>
      <c r="Q90" s="46"/>
      <c r="R90" s="32"/>
      <c r="S90" s="46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</row>
    <row r="91" spans="1:48" ht="15" customHeight="1">
      <c r="A91" s="530" t="s">
        <v>861</v>
      </c>
      <c r="B91" s="135" t="s">
        <v>745</v>
      </c>
      <c r="C91" s="827">
        <v>1.1000000000000001</v>
      </c>
      <c r="D91" s="827">
        <v>1.3</v>
      </c>
      <c r="E91" s="820">
        <f>F91+F92</f>
        <v>800</v>
      </c>
      <c r="F91" s="350">
        <v>718</v>
      </c>
      <c r="G91" s="222">
        <v>57500</v>
      </c>
      <c r="H91" s="258"/>
      <c r="I91" s="140">
        <f t="shared" ref="I91:I110" si="20">$D$3</f>
        <v>0.35</v>
      </c>
      <c r="J91" s="820">
        <f>K91+K92</f>
        <v>520</v>
      </c>
      <c r="K91" s="340">
        <f t="shared" ref="K91:K100" si="21">SUM(F91-(F91*I91))</f>
        <v>466.70000000000005</v>
      </c>
      <c r="L91" s="331">
        <f t="shared" ref="L91:L96" si="22">H91*K91</f>
        <v>0</v>
      </c>
      <c r="M91" s="259" t="s">
        <v>352</v>
      </c>
      <c r="N91" s="336">
        <v>0.09</v>
      </c>
      <c r="O91" s="367">
        <v>12</v>
      </c>
      <c r="P91" s="92"/>
      <c r="Q91" s="46"/>
      <c r="R91" s="92"/>
      <c r="S91" s="46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</row>
    <row r="92" spans="1:48" ht="15" customHeight="1">
      <c r="A92" s="530"/>
      <c r="B92" s="135" t="s">
        <v>1536</v>
      </c>
      <c r="C92" s="827"/>
      <c r="D92" s="827"/>
      <c r="E92" s="819"/>
      <c r="F92" s="350">
        <v>82</v>
      </c>
      <c r="G92" s="222">
        <v>6600</v>
      </c>
      <c r="H92" s="258"/>
      <c r="I92" s="140">
        <f t="shared" si="20"/>
        <v>0.35</v>
      </c>
      <c r="J92" s="819"/>
      <c r="K92" s="340">
        <f t="shared" si="21"/>
        <v>53.3</v>
      </c>
      <c r="L92" s="331">
        <f t="shared" si="22"/>
        <v>0</v>
      </c>
      <c r="M92" s="156"/>
      <c r="N92" s="336">
        <v>0.02</v>
      </c>
      <c r="O92" s="367">
        <v>2.5</v>
      </c>
      <c r="P92" s="92"/>
      <c r="Q92" s="46"/>
      <c r="R92" s="92"/>
      <c r="S92" s="46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</row>
    <row r="93" spans="1:48" ht="15" customHeight="1">
      <c r="A93" s="530" t="s">
        <v>1063</v>
      </c>
      <c r="B93" s="135" t="s">
        <v>747</v>
      </c>
      <c r="C93" s="827">
        <v>2.2000000000000002</v>
      </c>
      <c r="D93" s="851">
        <v>2.8</v>
      </c>
      <c r="E93" s="820">
        <f>F93+F94</f>
        <v>803</v>
      </c>
      <c r="F93" s="350">
        <v>721</v>
      </c>
      <c r="G93" s="222">
        <v>57700</v>
      </c>
      <c r="H93" s="258"/>
      <c r="I93" s="140">
        <f t="shared" si="20"/>
        <v>0.35</v>
      </c>
      <c r="J93" s="820">
        <f>K93+K94</f>
        <v>521.94999999999993</v>
      </c>
      <c r="K93" s="340">
        <f t="shared" si="21"/>
        <v>468.65</v>
      </c>
      <c r="L93" s="331">
        <f t="shared" si="22"/>
        <v>0</v>
      </c>
      <c r="M93" s="259" t="s">
        <v>352</v>
      </c>
      <c r="N93" s="336">
        <v>0.09</v>
      </c>
      <c r="O93" s="367">
        <v>12</v>
      </c>
      <c r="P93" s="92"/>
      <c r="Q93" s="46"/>
      <c r="R93" s="92"/>
      <c r="S93" s="46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</row>
    <row r="94" spans="1:48" ht="15" customHeight="1">
      <c r="A94" s="530"/>
      <c r="B94" s="135" t="s">
        <v>1536</v>
      </c>
      <c r="C94" s="827"/>
      <c r="D94" s="851"/>
      <c r="E94" s="819"/>
      <c r="F94" s="350">
        <v>82</v>
      </c>
      <c r="G94" s="222">
        <v>6600</v>
      </c>
      <c r="H94" s="258"/>
      <c r="I94" s="140">
        <f t="shared" si="20"/>
        <v>0.35</v>
      </c>
      <c r="J94" s="819"/>
      <c r="K94" s="340">
        <f t="shared" si="21"/>
        <v>53.3</v>
      </c>
      <c r="L94" s="331">
        <f t="shared" si="22"/>
        <v>0</v>
      </c>
      <c r="M94" s="156"/>
      <c r="N94" s="336">
        <v>0.02</v>
      </c>
      <c r="O94" s="367">
        <v>2.5</v>
      </c>
      <c r="P94" s="92"/>
      <c r="Q94" s="46"/>
      <c r="R94" s="92"/>
      <c r="S94" s="46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</row>
    <row r="95" spans="1:48" ht="15" customHeight="1">
      <c r="A95" s="530" t="s">
        <v>1064</v>
      </c>
      <c r="B95" s="135" t="s">
        <v>746</v>
      </c>
      <c r="C95" s="827">
        <v>2.8</v>
      </c>
      <c r="D95" s="827">
        <v>3.2</v>
      </c>
      <c r="E95" s="820">
        <f>F95+F96</f>
        <v>849</v>
      </c>
      <c r="F95" s="350">
        <v>767</v>
      </c>
      <c r="G95" s="222">
        <v>61400</v>
      </c>
      <c r="H95" s="258"/>
      <c r="I95" s="140">
        <f t="shared" si="20"/>
        <v>0.35</v>
      </c>
      <c r="J95" s="820">
        <f>K95+K96</f>
        <v>551.85</v>
      </c>
      <c r="K95" s="340">
        <f t="shared" si="21"/>
        <v>498.55</v>
      </c>
      <c r="L95" s="331">
        <f t="shared" si="22"/>
        <v>0</v>
      </c>
      <c r="M95" s="259" t="s">
        <v>352</v>
      </c>
      <c r="N95" s="336">
        <v>0.09</v>
      </c>
      <c r="O95" s="367">
        <v>12</v>
      </c>
      <c r="P95" s="92"/>
      <c r="Q95" s="46"/>
      <c r="R95" s="92"/>
      <c r="S95" s="46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</row>
    <row r="96" spans="1:48" ht="15" customHeight="1">
      <c r="A96" s="530"/>
      <c r="B96" s="135" t="s">
        <v>1537</v>
      </c>
      <c r="C96" s="827"/>
      <c r="D96" s="827"/>
      <c r="E96" s="819"/>
      <c r="F96" s="350">
        <v>82</v>
      </c>
      <c r="G96" s="222">
        <v>6600</v>
      </c>
      <c r="H96" s="258"/>
      <c r="I96" s="140">
        <f t="shared" si="20"/>
        <v>0.35</v>
      </c>
      <c r="J96" s="819"/>
      <c r="K96" s="340">
        <f t="shared" si="21"/>
        <v>53.3</v>
      </c>
      <c r="L96" s="331">
        <f t="shared" si="22"/>
        <v>0</v>
      </c>
      <c r="M96" s="156"/>
      <c r="N96" s="336">
        <v>0.02</v>
      </c>
      <c r="O96" s="367">
        <v>2.5</v>
      </c>
      <c r="P96" s="92"/>
      <c r="Q96" s="46"/>
      <c r="R96" s="92"/>
      <c r="S96" s="46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</row>
    <row r="97" spans="1:48" ht="15" customHeight="1">
      <c r="A97" s="530" t="s">
        <v>1065</v>
      </c>
      <c r="B97" s="135" t="s">
        <v>1538</v>
      </c>
      <c r="C97" s="827">
        <v>3.6</v>
      </c>
      <c r="D97" s="827">
        <v>4.0999999999999996</v>
      </c>
      <c r="E97" s="820">
        <f>F97+F98</f>
        <v>1036</v>
      </c>
      <c r="F97" s="350">
        <v>954</v>
      </c>
      <c r="G97" s="222">
        <v>76400</v>
      </c>
      <c r="H97" s="258"/>
      <c r="I97" s="140">
        <f t="shared" si="20"/>
        <v>0.35</v>
      </c>
      <c r="J97" s="820">
        <f>K97+K98</f>
        <v>673.4</v>
      </c>
      <c r="K97" s="340">
        <f t="shared" si="21"/>
        <v>620.1</v>
      </c>
      <c r="L97" s="331">
        <f>H97*K97</f>
        <v>0</v>
      </c>
      <c r="M97" s="259" t="s">
        <v>352</v>
      </c>
      <c r="N97" s="336">
        <v>0.09</v>
      </c>
      <c r="O97" s="367">
        <v>12</v>
      </c>
      <c r="P97" s="92"/>
      <c r="Q97" s="46"/>
      <c r="R97" s="92"/>
      <c r="S97" s="46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</row>
    <row r="98" spans="1:48" ht="15" customHeight="1">
      <c r="A98" s="530"/>
      <c r="B98" s="135" t="s">
        <v>1537</v>
      </c>
      <c r="C98" s="827"/>
      <c r="D98" s="827"/>
      <c r="E98" s="819"/>
      <c r="F98" s="350">
        <v>82</v>
      </c>
      <c r="G98" s="222">
        <v>6600</v>
      </c>
      <c r="H98" s="258"/>
      <c r="I98" s="140">
        <f t="shared" si="20"/>
        <v>0.35</v>
      </c>
      <c r="J98" s="819"/>
      <c r="K98" s="340">
        <f t="shared" si="21"/>
        <v>53.3</v>
      </c>
      <c r="L98" s="331">
        <f>H98*K98</f>
        <v>0</v>
      </c>
      <c r="M98" s="156"/>
      <c r="N98" s="336">
        <v>0.02</v>
      </c>
      <c r="O98" s="367">
        <v>2.5</v>
      </c>
      <c r="P98" s="92"/>
      <c r="Q98" s="46"/>
      <c r="R98" s="92"/>
      <c r="S98" s="46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</row>
    <row r="99" spans="1:48" ht="15" customHeight="1">
      <c r="A99" s="530" t="s">
        <v>1066</v>
      </c>
      <c r="B99" s="135" t="s">
        <v>1539</v>
      </c>
      <c r="C99" s="827">
        <v>4</v>
      </c>
      <c r="D99" s="827">
        <v>4.5</v>
      </c>
      <c r="E99" s="820">
        <f>F99+F100</f>
        <v>1060</v>
      </c>
      <c r="F99" s="350">
        <v>978</v>
      </c>
      <c r="G99" s="222">
        <v>78300</v>
      </c>
      <c r="H99" s="258"/>
      <c r="I99" s="140">
        <f t="shared" si="20"/>
        <v>0.35</v>
      </c>
      <c r="J99" s="820">
        <f>K99+K100</f>
        <v>689</v>
      </c>
      <c r="K99" s="340">
        <f t="shared" si="21"/>
        <v>635.70000000000005</v>
      </c>
      <c r="L99" s="331">
        <f>H99*K99</f>
        <v>0</v>
      </c>
      <c r="M99" s="259" t="s">
        <v>352</v>
      </c>
      <c r="N99" s="336">
        <v>0.09</v>
      </c>
      <c r="O99" s="367">
        <v>12</v>
      </c>
      <c r="P99" s="92"/>
      <c r="Q99" s="46"/>
      <c r="R99" s="92"/>
      <c r="S99" s="46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</row>
    <row r="100" spans="1:48" ht="15" customHeight="1">
      <c r="A100" s="530"/>
      <c r="B100" s="135" t="s">
        <v>1537</v>
      </c>
      <c r="C100" s="827"/>
      <c r="D100" s="827"/>
      <c r="E100" s="819"/>
      <c r="F100" s="350">
        <v>82</v>
      </c>
      <c r="G100" s="222">
        <v>6600</v>
      </c>
      <c r="H100" s="258"/>
      <c r="I100" s="140">
        <f t="shared" si="20"/>
        <v>0.35</v>
      </c>
      <c r="J100" s="819"/>
      <c r="K100" s="340">
        <f t="shared" si="21"/>
        <v>53.3</v>
      </c>
      <c r="L100" s="331">
        <f>H100*K100</f>
        <v>0</v>
      </c>
      <c r="M100" s="156"/>
      <c r="N100" s="336">
        <v>0.02</v>
      </c>
      <c r="O100" s="367">
        <v>2.5</v>
      </c>
      <c r="P100" s="92"/>
      <c r="Q100" s="46"/>
      <c r="R100" s="92"/>
      <c r="S100" s="46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</row>
    <row r="101" spans="1:48" ht="15" customHeight="1">
      <c r="A101" s="530" t="s">
        <v>874</v>
      </c>
      <c r="B101" s="135" t="s">
        <v>874</v>
      </c>
      <c r="C101" s="827">
        <v>1.1000000000000001</v>
      </c>
      <c r="D101" s="827">
        <v>1.3</v>
      </c>
      <c r="E101" s="820">
        <f>F101+F102</f>
        <v>800</v>
      </c>
      <c r="F101" s="350">
        <v>718</v>
      </c>
      <c r="G101" s="222">
        <v>57500</v>
      </c>
      <c r="H101" s="258"/>
      <c r="I101" s="140">
        <f t="shared" si="20"/>
        <v>0.35</v>
      </c>
      <c r="J101" s="820">
        <f>K101+K102</f>
        <v>520</v>
      </c>
      <c r="K101" s="340">
        <f t="shared" ref="K101:K110" si="23">SUM(F101-(F101*I101))</f>
        <v>466.70000000000005</v>
      </c>
      <c r="L101" s="331">
        <f t="shared" ref="L101:L106" si="24">H101*K101</f>
        <v>0</v>
      </c>
      <c r="M101" s="259" t="s">
        <v>352</v>
      </c>
      <c r="N101" s="336">
        <v>0.09</v>
      </c>
      <c r="O101" s="367">
        <v>12</v>
      </c>
      <c r="P101" s="92"/>
      <c r="Q101" s="46"/>
      <c r="R101" s="92"/>
      <c r="S101" s="46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</row>
    <row r="102" spans="1:48" ht="15" customHeight="1">
      <c r="A102" s="530"/>
      <c r="B102" s="135" t="s">
        <v>1536</v>
      </c>
      <c r="C102" s="827"/>
      <c r="D102" s="827"/>
      <c r="E102" s="819"/>
      <c r="F102" s="350">
        <v>82</v>
      </c>
      <c r="G102" s="222">
        <v>6600</v>
      </c>
      <c r="H102" s="258"/>
      <c r="I102" s="140">
        <f t="shared" si="20"/>
        <v>0.35</v>
      </c>
      <c r="J102" s="819"/>
      <c r="K102" s="340">
        <f t="shared" si="23"/>
        <v>53.3</v>
      </c>
      <c r="L102" s="331">
        <f t="shared" si="24"/>
        <v>0</v>
      </c>
      <c r="M102" s="156"/>
      <c r="N102" s="336">
        <v>0.02</v>
      </c>
      <c r="O102" s="367">
        <v>2.5</v>
      </c>
      <c r="P102" s="92"/>
      <c r="Q102" s="46"/>
      <c r="R102" s="92"/>
      <c r="S102" s="46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</row>
    <row r="103" spans="1:48" ht="15" customHeight="1">
      <c r="A103" s="530" t="s">
        <v>1477</v>
      </c>
      <c r="B103" s="135" t="s">
        <v>875</v>
      </c>
      <c r="C103" s="827">
        <v>2.2000000000000002</v>
      </c>
      <c r="D103" s="851">
        <v>2.8</v>
      </c>
      <c r="E103" s="820">
        <f>F103+F104</f>
        <v>803</v>
      </c>
      <c r="F103" s="350">
        <v>721</v>
      </c>
      <c r="G103" s="222">
        <v>57700</v>
      </c>
      <c r="H103" s="258"/>
      <c r="I103" s="140">
        <f t="shared" si="20"/>
        <v>0.35</v>
      </c>
      <c r="J103" s="820">
        <f>K103+K104</f>
        <v>521.94999999999993</v>
      </c>
      <c r="K103" s="340">
        <f t="shared" si="23"/>
        <v>468.65</v>
      </c>
      <c r="L103" s="331">
        <f t="shared" si="24"/>
        <v>0</v>
      </c>
      <c r="M103" s="259" t="s">
        <v>352</v>
      </c>
      <c r="N103" s="336">
        <v>0.09</v>
      </c>
      <c r="O103" s="367">
        <v>12</v>
      </c>
      <c r="P103" s="92"/>
      <c r="Q103" s="46"/>
      <c r="R103" s="92"/>
      <c r="S103" s="46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</row>
    <row r="104" spans="1:48" ht="15" customHeight="1">
      <c r="A104" s="530"/>
      <c r="B104" s="135" t="s">
        <v>1536</v>
      </c>
      <c r="C104" s="827"/>
      <c r="D104" s="851"/>
      <c r="E104" s="819"/>
      <c r="F104" s="350">
        <v>82</v>
      </c>
      <c r="G104" s="222">
        <v>6600</v>
      </c>
      <c r="H104" s="258"/>
      <c r="I104" s="140">
        <f t="shared" si="20"/>
        <v>0.35</v>
      </c>
      <c r="J104" s="819"/>
      <c r="K104" s="340">
        <f t="shared" si="23"/>
        <v>53.3</v>
      </c>
      <c r="L104" s="331">
        <f t="shared" si="24"/>
        <v>0</v>
      </c>
      <c r="M104" s="156"/>
      <c r="N104" s="336">
        <v>0.02</v>
      </c>
      <c r="O104" s="367">
        <v>2.5</v>
      </c>
      <c r="P104" s="92"/>
      <c r="Q104" s="46"/>
      <c r="R104" s="92"/>
      <c r="S104" s="46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</row>
    <row r="105" spans="1:48" ht="15" customHeight="1">
      <c r="A105" s="530" t="s">
        <v>1478</v>
      </c>
      <c r="B105" s="135" t="s">
        <v>876</v>
      </c>
      <c r="C105" s="827">
        <v>2.8</v>
      </c>
      <c r="D105" s="827">
        <v>3.2</v>
      </c>
      <c r="E105" s="820">
        <f>F105+F106</f>
        <v>849</v>
      </c>
      <c r="F105" s="350">
        <v>767</v>
      </c>
      <c r="G105" s="222">
        <v>61400</v>
      </c>
      <c r="H105" s="258"/>
      <c r="I105" s="140">
        <f t="shared" si="20"/>
        <v>0.35</v>
      </c>
      <c r="J105" s="820">
        <f>K105+K106</f>
        <v>551.85</v>
      </c>
      <c r="K105" s="340">
        <f t="shared" si="23"/>
        <v>498.55</v>
      </c>
      <c r="L105" s="331">
        <f t="shared" si="24"/>
        <v>0</v>
      </c>
      <c r="M105" s="259" t="s">
        <v>352</v>
      </c>
      <c r="N105" s="336">
        <v>0.09</v>
      </c>
      <c r="O105" s="367">
        <v>12</v>
      </c>
      <c r="P105" s="92"/>
      <c r="Q105" s="46"/>
      <c r="R105" s="92"/>
      <c r="S105" s="46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</row>
    <row r="106" spans="1:48" ht="15" customHeight="1">
      <c r="A106" s="530"/>
      <c r="B106" s="135" t="s">
        <v>1537</v>
      </c>
      <c r="C106" s="827"/>
      <c r="D106" s="827"/>
      <c r="E106" s="819"/>
      <c r="F106" s="350">
        <v>82</v>
      </c>
      <c r="G106" s="222">
        <v>6600</v>
      </c>
      <c r="H106" s="258"/>
      <c r="I106" s="140">
        <f t="shared" si="20"/>
        <v>0.35</v>
      </c>
      <c r="J106" s="819"/>
      <c r="K106" s="340">
        <f t="shared" si="23"/>
        <v>53.3</v>
      </c>
      <c r="L106" s="331">
        <f t="shared" si="24"/>
        <v>0</v>
      </c>
      <c r="M106" s="156"/>
      <c r="N106" s="336">
        <v>0.02</v>
      </c>
      <c r="O106" s="367">
        <v>2.5</v>
      </c>
      <c r="P106" s="92"/>
      <c r="Q106" s="46"/>
      <c r="R106" s="92"/>
      <c r="S106" s="46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</row>
    <row r="107" spans="1:48" ht="15" customHeight="1">
      <c r="A107" s="530" t="s">
        <v>1479</v>
      </c>
      <c r="B107" s="135" t="s">
        <v>1540</v>
      </c>
      <c r="C107" s="827">
        <v>3.6</v>
      </c>
      <c r="D107" s="827">
        <v>4.0999999999999996</v>
      </c>
      <c r="E107" s="820">
        <f>F107+F108</f>
        <v>1036</v>
      </c>
      <c r="F107" s="350">
        <v>954</v>
      </c>
      <c r="G107" s="222">
        <v>76400</v>
      </c>
      <c r="H107" s="258"/>
      <c r="I107" s="140">
        <f t="shared" si="20"/>
        <v>0.35</v>
      </c>
      <c r="J107" s="820">
        <f>K107+K108</f>
        <v>673.4</v>
      </c>
      <c r="K107" s="340">
        <f t="shared" si="23"/>
        <v>620.1</v>
      </c>
      <c r="L107" s="331">
        <f>H107*K107</f>
        <v>0</v>
      </c>
      <c r="M107" s="259" t="s">
        <v>352</v>
      </c>
      <c r="N107" s="336">
        <v>0.09</v>
      </c>
      <c r="O107" s="367">
        <v>12</v>
      </c>
      <c r="P107" s="92"/>
      <c r="Q107" s="46"/>
      <c r="R107" s="92"/>
      <c r="S107" s="46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</row>
    <row r="108" spans="1:48" ht="15" customHeight="1">
      <c r="A108" s="530"/>
      <c r="B108" s="135" t="s">
        <v>1537</v>
      </c>
      <c r="C108" s="827"/>
      <c r="D108" s="827"/>
      <c r="E108" s="819"/>
      <c r="F108" s="350">
        <v>82</v>
      </c>
      <c r="G108" s="222">
        <v>6600</v>
      </c>
      <c r="H108" s="258"/>
      <c r="I108" s="140">
        <f t="shared" si="20"/>
        <v>0.35</v>
      </c>
      <c r="J108" s="819"/>
      <c r="K108" s="340">
        <f t="shared" si="23"/>
        <v>53.3</v>
      </c>
      <c r="L108" s="331">
        <f>H108*K108</f>
        <v>0</v>
      </c>
      <c r="M108" s="156"/>
      <c r="N108" s="336">
        <v>0.02</v>
      </c>
      <c r="O108" s="367">
        <v>2.5</v>
      </c>
      <c r="P108" s="92"/>
      <c r="Q108" s="46"/>
      <c r="R108" s="92"/>
      <c r="S108" s="46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</row>
    <row r="109" spans="1:48" ht="15" customHeight="1">
      <c r="A109" s="530" t="s">
        <v>1480</v>
      </c>
      <c r="B109" s="135" t="s">
        <v>1541</v>
      </c>
      <c r="C109" s="827">
        <v>4</v>
      </c>
      <c r="D109" s="827">
        <v>4.5</v>
      </c>
      <c r="E109" s="820">
        <f>F109+F110</f>
        <v>1060</v>
      </c>
      <c r="F109" s="350">
        <v>978</v>
      </c>
      <c r="G109" s="222">
        <v>78300</v>
      </c>
      <c r="H109" s="258"/>
      <c r="I109" s="140">
        <f t="shared" si="20"/>
        <v>0.35</v>
      </c>
      <c r="J109" s="820">
        <f>K109+K110</f>
        <v>689</v>
      </c>
      <c r="K109" s="340">
        <f t="shared" si="23"/>
        <v>635.70000000000005</v>
      </c>
      <c r="L109" s="331">
        <f>H109*K109</f>
        <v>0</v>
      </c>
      <c r="M109" s="259" t="s">
        <v>352</v>
      </c>
      <c r="N109" s="336">
        <v>0.09</v>
      </c>
      <c r="O109" s="367">
        <v>12</v>
      </c>
      <c r="P109" s="92"/>
      <c r="Q109" s="46"/>
      <c r="R109" s="92"/>
      <c r="S109" s="46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</row>
    <row r="110" spans="1:48" ht="15" customHeight="1">
      <c r="A110" s="530"/>
      <c r="B110" s="135" t="s">
        <v>1537</v>
      </c>
      <c r="C110" s="827"/>
      <c r="D110" s="827"/>
      <c r="E110" s="819"/>
      <c r="F110" s="350">
        <v>82</v>
      </c>
      <c r="G110" s="222">
        <v>6600</v>
      </c>
      <c r="H110" s="258"/>
      <c r="I110" s="140">
        <f t="shared" si="20"/>
        <v>0.35</v>
      </c>
      <c r="J110" s="819"/>
      <c r="K110" s="340">
        <f t="shared" si="23"/>
        <v>53.3</v>
      </c>
      <c r="L110" s="331">
        <f>H110*K110</f>
        <v>0</v>
      </c>
      <c r="M110" s="156"/>
      <c r="N110" s="336">
        <v>0.02</v>
      </c>
      <c r="O110" s="367">
        <v>2.5</v>
      </c>
      <c r="P110" s="92"/>
      <c r="Q110" s="46"/>
      <c r="R110" s="92"/>
      <c r="S110" s="46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</row>
    <row r="111" spans="1:48" ht="30" customHeight="1">
      <c r="A111" s="443" t="s">
        <v>750</v>
      </c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50"/>
      <c r="M111" s="251"/>
      <c r="N111" s="251"/>
      <c r="O111" s="442"/>
      <c r="P111" s="92"/>
      <c r="Q111" s="46"/>
      <c r="R111" s="92"/>
      <c r="S111" s="46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</row>
    <row r="112" spans="1:48" ht="30" customHeight="1">
      <c r="A112" s="537" t="s">
        <v>179</v>
      </c>
      <c r="B112" s="538"/>
      <c r="C112" s="538"/>
      <c r="D112" s="538"/>
      <c r="E112" s="538"/>
      <c r="F112" s="538"/>
      <c r="G112" s="538"/>
      <c r="H112" s="538"/>
      <c r="I112" s="538"/>
      <c r="J112" s="538"/>
      <c r="K112" s="538"/>
      <c r="L112" s="538"/>
      <c r="M112" s="538"/>
      <c r="N112" s="538"/>
      <c r="O112" s="539"/>
      <c r="P112" s="92"/>
      <c r="Q112" s="46"/>
      <c r="R112" s="92"/>
      <c r="S112" s="46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</row>
    <row r="113" spans="1:48" ht="17.25" customHeight="1">
      <c r="A113" s="380" t="s">
        <v>1542</v>
      </c>
      <c r="B113" s="261"/>
      <c r="C113" s="353">
        <v>1.1000000000000001</v>
      </c>
      <c r="D113" s="353">
        <v>1.3</v>
      </c>
      <c r="E113" s="231"/>
      <c r="F113" s="350">
        <v>879</v>
      </c>
      <c r="G113" s="222">
        <v>70400</v>
      </c>
      <c r="H113" s="223"/>
      <c r="I113" s="145">
        <f t="shared" ref="I113:I122" si="25">$D$3</f>
        <v>0.35</v>
      </c>
      <c r="J113" s="350"/>
      <c r="K113" s="340">
        <f t="shared" ref="K113:K122" si="26">SUM(F113-(F113*I113))</f>
        <v>571.35</v>
      </c>
      <c r="L113" s="331">
        <f t="shared" ref="L113:L122" si="27">H113*K113</f>
        <v>0</v>
      </c>
      <c r="M113" s="256" t="s">
        <v>751</v>
      </c>
      <c r="N113" s="336"/>
      <c r="O113" s="370">
        <v>15</v>
      </c>
      <c r="P113" s="92"/>
      <c r="Q113" s="46"/>
      <c r="R113" s="92"/>
      <c r="S113" s="46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</row>
    <row r="114" spans="1:48" ht="17.25" customHeight="1">
      <c r="A114" s="380" t="s">
        <v>1543</v>
      </c>
      <c r="B114" s="261"/>
      <c r="C114" s="355">
        <v>2.2000000000000002</v>
      </c>
      <c r="D114" s="257">
        <v>2.8</v>
      </c>
      <c r="E114" s="231"/>
      <c r="F114" s="350">
        <v>925</v>
      </c>
      <c r="G114" s="222">
        <v>74000</v>
      </c>
      <c r="H114" s="223"/>
      <c r="I114" s="145">
        <f t="shared" si="25"/>
        <v>0.35</v>
      </c>
      <c r="J114" s="350"/>
      <c r="K114" s="340">
        <f t="shared" si="26"/>
        <v>601.25</v>
      </c>
      <c r="L114" s="331">
        <f t="shared" si="27"/>
        <v>0</v>
      </c>
      <c r="M114" s="256" t="s">
        <v>751</v>
      </c>
      <c r="N114" s="336"/>
      <c r="O114" s="367">
        <v>15</v>
      </c>
      <c r="P114" s="92"/>
      <c r="Q114" s="46"/>
      <c r="R114" s="92"/>
      <c r="S114" s="46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</row>
    <row r="115" spans="1:48" ht="17.25" customHeight="1">
      <c r="A115" s="380" t="s">
        <v>1544</v>
      </c>
      <c r="B115" s="261"/>
      <c r="C115" s="353">
        <v>2.6</v>
      </c>
      <c r="D115" s="353">
        <v>3.5</v>
      </c>
      <c r="E115" s="231"/>
      <c r="F115" s="350">
        <v>983</v>
      </c>
      <c r="G115" s="222">
        <v>78700</v>
      </c>
      <c r="H115" s="223"/>
      <c r="I115" s="145">
        <f t="shared" si="25"/>
        <v>0.35</v>
      </c>
      <c r="J115" s="350"/>
      <c r="K115" s="340">
        <f t="shared" si="26"/>
        <v>638.95000000000005</v>
      </c>
      <c r="L115" s="331">
        <f t="shared" si="27"/>
        <v>0</v>
      </c>
      <c r="M115" s="256" t="s">
        <v>751</v>
      </c>
      <c r="N115" s="336">
        <v>0.17799999999999999</v>
      </c>
      <c r="O115" s="367">
        <v>17</v>
      </c>
      <c r="P115" s="92"/>
      <c r="Q115" s="46"/>
      <c r="R115" s="92"/>
      <c r="S115" s="46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</row>
    <row r="116" spans="1:48" ht="17.25" customHeight="1">
      <c r="A116" s="380" t="s">
        <v>1545</v>
      </c>
      <c r="B116" s="261"/>
      <c r="C116" s="353">
        <v>3.5</v>
      </c>
      <c r="D116" s="219">
        <v>4.5</v>
      </c>
      <c r="E116" s="231"/>
      <c r="F116" s="350">
        <v>1009</v>
      </c>
      <c r="G116" s="222">
        <v>80800</v>
      </c>
      <c r="H116" s="223"/>
      <c r="I116" s="145">
        <f t="shared" si="25"/>
        <v>0.35</v>
      </c>
      <c r="J116" s="350"/>
      <c r="K116" s="340">
        <f t="shared" si="26"/>
        <v>655.85</v>
      </c>
      <c r="L116" s="331">
        <f t="shared" si="27"/>
        <v>0</v>
      </c>
      <c r="M116" s="256" t="s">
        <v>751</v>
      </c>
      <c r="N116" s="336">
        <v>0.17799999999999999</v>
      </c>
      <c r="O116" s="367">
        <v>17</v>
      </c>
      <c r="P116" s="92"/>
      <c r="Q116" s="46"/>
      <c r="R116" s="92"/>
      <c r="S116" s="46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</row>
    <row r="117" spans="1:48" ht="17.25" customHeight="1">
      <c r="A117" s="380" t="s">
        <v>1546</v>
      </c>
      <c r="B117" s="261"/>
      <c r="C117" s="219">
        <v>4.2</v>
      </c>
      <c r="D117" s="219">
        <v>5.2</v>
      </c>
      <c r="E117" s="231"/>
      <c r="F117" s="350">
        <v>1067</v>
      </c>
      <c r="G117" s="222">
        <v>85400</v>
      </c>
      <c r="H117" s="223"/>
      <c r="I117" s="145">
        <f t="shared" si="25"/>
        <v>0.35</v>
      </c>
      <c r="J117" s="350"/>
      <c r="K117" s="340">
        <f t="shared" si="26"/>
        <v>693.55</v>
      </c>
      <c r="L117" s="331">
        <f t="shared" si="27"/>
        <v>0</v>
      </c>
      <c r="M117" s="256" t="s">
        <v>751</v>
      </c>
      <c r="N117" s="336">
        <v>0.17799999999999999</v>
      </c>
      <c r="O117" s="367">
        <v>17</v>
      </c>
      <c r="P117" s="92"/>
      <c r="Q117" s="46"/>
      <c r="R117" s="92"/>
      <c r="S117" s="46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</row>
    <row r="118" spans="1:48" ht="17.25" customHeight="1">
      <c r="A118" s="380" t="s">
        <v>1481</v>
      </c>
      <c r="B118" s="261"/>
      <c r="C118" s="353">
        <v>1.1000000000000001</v>
      </c>
      <c r="D118" s="353">
        <v>1.3</v>
      </c>
      <c r="E118" s="231"/>
      <c r="F118" s="350">
        <v>879</v>
      </c>
      <c r="G118" s="222">
        <v>70400</v>
      </c>
      <c r="H118" s="223"/>
      <c r="I118" s="145">
        <f t="shared" si="25"/>
        <v>0.35</v>
      </c>
      <c r="J118" s="350"/>
      <c r="K118" s="340">
        <f t="shared" si="26"/>
        <v>571.35</v>
      </c>
      <c r="L118" s="331">
        <f t="shared" si="27"/>
        <v>0</v>
      </c>
      <c r="M118" s="256" t="s">
        <v>751</v>
      </c>
      <c r="N118" s="336"/>
      <c r="O118" s="370">
        <v>15</v>
      </c>
      <c r="P118" s="92"/>
      <c r="Q118" s="46"/>
      <c r="R118" s="92"/>
      <c r="S118" s="46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</row>
    <row r="119" spans="1:48" ht="17.25" customHeight="1">
      <c r="A119" s="380" t="s">
        <v>1482</v>
      </c>
      <c r="B119" s="261"/>
      <c r="C119" s="355">
        <v>2.2000000000000002</v>
      </c>
      <c r="D119" s="257">
        <v>2.8</v>
      </c>
      <c r="E119" s="231"/>
      <c r="F119" s="350">
        <v>925</v>
      </c>
      <c r="G119" s="222">
        <v>74000</v>
      </c>
      <c r="H119" s="223"/>
      <c r="I119" s="145">
        <f t="shared" si="25"/>
        <v>0.35</v>
      </c>
      <c r="J119" s="350"/>
      <c r="K119" s="340">
        <f t="shared" si="26"/>
        <v>601.25</v>
      </c>
      <c r="L119" s="331">
        <f t="shared" si="27"/>
        <v>0</v>
      </c>
      <c r="M119" s="256" t="s">
        <v>751</v>
      </c>
      <c r="N119" s="336"/>
      <c r="O119" s="367">
        <v>15</v>
      </c>
      <c r="P119" s="92"/>
      <c r="Q119" s="46"/>
      <c r="R119" s="92"/>
      <c r="S119" s="46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</row>
    <row r="120" spans="1:48" ht="17.25" customHeight="1">
      <c r="A120" s="380" t="s">
        <v>1483</v>
      </c>
      <c r="B120" s="261"/>
      <c r="C120" s="353">
        <v>2.6</v>
      </c>
      <c r="D120" s="353">
        <v>3.5</v>
      </c>
      <c r="E120" s="231"/>
      <c r="F120" s="350">
        <v>983</v>
      </c>
      <c r="G120" s="222">
        <v>78700</v>
      </c>
      <c r="H120" s="223"/>
      <c r="I120" s="145">
        <f t="shared" si="25"/>
        <v>0.35</v>
      </c>
      <c r="J120" s="350"/>
      <c r="K120" s="340">
        <f t="shared" si="26"/>
        <v>638.95000000000005</v>
      </c>
      <c r="L120" s="331">
        <f t="shared" si="27"/>
        <v>0</v>
      </c>
      <c r="M120" s="256" t="s">
        <v>751</v>
      </c>
      <c r="N120" s="336">
        <v>0.17799999999999999</v>
      </c>
      <c r="O120" s="367">
        <v>17</v>
      </c>
      <c r="P120" s="92"/>
      <c r="Q120" s="46"/>
      <c r="R120" s="92"/>
      <c r="S120" s="46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</row>
    <row r="121" spans="1:48" ht="17.25" customHeight="1">
      <c r="A121" s="380" t="s">
        <v>1484</v>
      </c>
      <c r="B121" s="261"/>
      <c r="C121" s="353">
        <v>3.5</v>
      </c>
      <c r="D121" s="219">
        <v>4.5</v>
      </c>
      <c r="E121" s="231"/>
      <c r="F121" s="350">
        <v>1009</v>
      </c>
      <c r="G121" s="222">
        <v>80800</v>
      </c>
      <c r="H121" s="223"/>
      <c r="I121" s="145">
        <f t="shared" si="25"/>
        <v>0.35</v>
      </c>
      <c r="J121" s="350"/>
      <c r="K121" s="340">
        <f t="shared" si="26"/>
        <v>655.85</v>
      </c>
      <c r="L121" s="331">
        <f t="shared" si="27"/>
        <v>0</v>
      </c>
      <c r="M121" s="256" t="s">
        <v>751</v>
      </c>
      <c r="N121" s="336">
        <v>0.17799999999999999</v>
      </c>
      <c r="O121" s="367">
        <v>17</v>
      </c>
      <c r="P121" s="92"/>
      <c r="Q121" s="46"/>
      <c r="R121" s="92"/>
      <c r="S121" s="46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</row>
    <row r="122" spans="1:48" ht="17.25" customHeight="1">
      <c r="A122" s="380" t="s">
        <v>1485</v>
      </c>
      <c r="B122" s="261"/>
      <c r="C122" s="219">
        <v>4.2</v>
      </c>
      <c r="D122" s="219">
        <v>5.2</v>
      </c>
      <c r="E122" s="231"/>
      <c r="F122" s="350">
        <v>1067</v>
      </c>
      <c r="G122" s="222">
        <v>85400</v>
      </c>
      <c r="H122" s="223"/>
      <c r="I122" s="145">
        <f t="shared" si="25"/>
        <v>0.35</v>
      </c>
      <c r="J122" s="350"/>
      <c r="K122" s="340">
        <f t="shared" si="26"/>
        <v>693.55</v>
      </c>
      <c r="L122" s="331">
        <f t="shared" si="27"/>
        <v>0</v>
      </c>
      <c r="M122" s="256" t="s">
        <v>751</v>
      </c>
      <c r="N122" s="336">
        <v>0.17799999999999999</v>
      </c>
      <c r="O122" s="367">
        <v>17</v>
      </c>
      <c r="P122" s="92"/>
      <c r="Q122" s="46"/>
      <c r="R122" s="92"/>
      <c r="S122" s="46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</row>
    <row r="123" spans="1:48" ht="30" customHeight="1">
      <c r="A123" s="443" t="s">
        <v>752</v>
      </c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50"/>
      <c r="M123" s="251"/>
      <c r="N123" s="251"/>
      <c r="O123" s="442"/>
      <c r="P123" s="92"/>
      <c r="Q123" s="46"/>
      <c r="R123" s="92"/>
      <c r="S123" s="46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</row>
    <row r="124" spans="1:48" ht="30" customHeight="1">
      <c r="A124" s="537" t="s">
        <v>179</v>
      </c>
      <c r="B124" s="538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8"/>
      <c r="O124" s="539"/>
      <c r="P124" s="92"/>
      <c r="Q124" s="46"/>
      <c r="R124" s="92"/>
      <c r="S124" s="46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</row>
    <row r="125" spans="1:48" ht="17.25" customHeight="1">
      <c r="A125" s="530" t="s">
        <v>877</v>
      </c>
      <c r="B125" s="135" t="s">
        <v>753</v>
      </c>
      <c r="C125" s="353">
        <v>1.1000000000000001</v>
      </c>
      <c r="D125" s="353">
        <v>1.3</v>
      </c>
      <c r="E125" s="231"/>
      <c r="F125" s="350">
        <v>792</v>
      </c>
      <c r="G125" s="222">
        <v>63400</v>
      </c>
      <c r="H125" s="223"/>
      <c r="I125" s="145">
        <f t="shared" ref="I125:I144" si="28">$D$3</f>
        <v>0.35</v>
      </c>
      <c r="J125" s="820">
        <f>K125+K126</f>
        <v>568.09999999999991</v>
      </c>
      <c r="K125" s="340">
        <f t="shared" ref="K125:K134" si="29">SUM(F125-(F125*I125))</f>
        <v>514.79999999999995</v>
      </c>
      <c r="L125" s="331">
        <f t="shared" ref="L125:L134" si="30">H125*K125</f>
        <v>0</v>
      </c>
      <c r="M125" s="256" t="s">
        <v>751</v>
      </c>
      <c r="N125" s="336">
        <v>0.17799999999999999</v>
      </c>
      <c r="O125" s="370">
        <v>14.5</v>
      </c>
      <c r="P125" s="92"/>
      <c r="Q125" s="46"/>
      <c r="R125" s="92"/>
      <c r="S125" s="46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</row>
    <row r="126" spans="1:48" ht="17.25" customHeight="1">
      <c r="A126" s="530"/>
      <c r="B126" s="135" t="s">
        <v>1536</v>
      </c>
      <c r="C126" s="353"/>
      <c r="D126" s="353"/>
      <c r="E126" s="231"/>
      <c r="F126" s="350">
        <v>82</v>
      </c>
      <c r="G126" s="222">
        <v>6600</v>
      </c>
      <c r="H126" s="223"/>
      <c r="I126" s="145">
        <f t="shared" si="28"/>
        <v>0.35</v>
      </c>
      <c r="J126" s="819"/>
      <c r="K126" s="340">
        <f t="shared" si="29"/>
        <v>53.3</v>
      </c>
      <c r="L126" s="331">
        <f t="shared" si="30"/>
        <v>0</v>
      </c>
      <c r="M126" s="256"/>
      <c r="N126" s="336"/>
      <c r="O126" s="370"/>
      <c r="P126" s="92"/>
      <c r="Q126" s="46"/>
      <c r="R126" s="92"/>
      <c r="S126" s="46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</row>
    <row r="127" spans="1:48" ht="17.25" customHeight="1">
      <c r="A127" s="530" t="s">
        <v>878</v>
      </c>
      <c r="B127" s="135" t="s">
        <v>754</v>
      </c>
      <c r="C127" s="355">
        <v>2.2000000000000002</v>
      </c>
      <c r="D127" s="257">
        <v>2.8</v>
      </c>
      <c r="E127" s="231"/>
      <c r="F127" s="350">
        <v>833</v>
      </c>
      <c r="G127" s="222">
        <v>66700</v>
      </c>
      <c r="H127" s="223"/>
      <c r="I127" s="145">
        <f t="shared" si="28"/>
        <v>0.35</v>
      </c>
      <c r="J127" s="820">
        <f>K127+K128</f>
        <v>594.75</v>
      </c>
      <c r="K127" s="340">
        <f t="shared" si="29"/>
        <v>541.45000000000005</v>
      </c>
      <c r="L127" s="331">
        <f t="shared" si="30"/>
        <v>0</v>
      </c>
      <c r="M127" s="256" t="s">
        <v>751</v>
      </c>
      <c r="N127" s="336">
        <v>0.17799999999999999</v>
      </c>
      <c r="O127" s="367">
        <v>14.5</v>
      </c>
      <c r="P127" s="92"/>
      <c r="Q127" s="46"/>
      <c r="R127" s="92"/>
      <c r="S127" s="46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</row>
    <row r="128" spans="1:48" ht="17.25" customHeight="1">
      <c r="A128" s="530"/>
      <c r="B128" s="135" t="s">
        <v>1536</v>
      </c>
      <c r="C128" s="355"/>
      <c r="D128" s="257"/>
      <c r="E128" s="231"/>
      <c r="F128" s="350">
        <v>82</v>
      </c>
      <c r="G128" s="222">
        <v>6600</v>
      </c>
      <c r="H128" s="223"/>
      <c r="I128" s="145">
        <f t="shared" si="28"/>
        <v>0.35</v>
      </c>
      <c r="J128" s="819"/>
      <c r="K128" s="340">
        <f t="shared" si="29"/>
        <v>53.3</v>
      </c>
      <c r="L128" s="331">
        <f t="shared" si="30"/>
        <v>0</v>
      </c>
      <c r="M128" s="256"/>
      <c r="N128" s="336"/>
      <c r="O128" s="367"/>
      <c r="P128" s="92"/>
      <c r="Q128" s="46"/>
      <c r="R128" s="92"/>
      <c r="S128" s="46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</row>
    <row r="129" spans="1:48" ht="17.25" customHeight="1">
      <c r="A129" s="530" t="s">
        <v>879</v>
      </c>
      <c r="B129" s="135" t="s">
        <v>755</v>
      </c>
      <c r="C129" s="353">
        <v>2.6</v>
      </c>
      <c r="D129" s="353">
        <v>3.5</v>
      </c>
      <c r="E129" s="231"/>
      <c r="F129" s="350">
        <v>885</v>
      </c>
      <c r="G129" s="222">
        <v>70800</v>
      </c>
      <c r="H129" s="223"/>
      <c r="I129" s="145">
        <f t="shared" si="28"/>
        <v>0.35</v>
      </c>
      <c r="J129" s="820">
        <f>K129+K130</f>
        <v>628.54999999999995</v>
      </c>
      <c r="K129" s="340">
        <f t="shared" si="29"/>
        <v>575.25</v>
      </c>
      <c r="L129" s="331">
        <f t="shared" si="30"/>
        <v>0</v>
      </c>
      <c r="M129" s="256" t="s">
        <v>751</v>
      </c>
      <c r="N129" s="336">
        <v>0.17799999999999999</v>
      </c>
      <c r="O129" s="367">
        <v>17</v>
      </c>
      <c r="P129" s="92"/>
      <c r="Q129" s="46"/>
      <c r="R129" s="92"/>
      <c r="S129" s="46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</row>
    <row r="130" spans="1:48" ht="17.25" customHeight="1">
      <c r="A130" s="530"/>
      <c r="B130" s="135" t="s">
        <v>1536</v>
      </c>
      <c r="C130" s="353"/>
      <c r="D130" s="353"/>
      <c r="E130" s="231"/>
      <c r="F130" s="350">
        <v>82</v>
      </c>
      <c r="G130" s="222">
        <v>6600</v>
      </c>
      <c r="H130" s="223"/>
      <c r="I130" s="145">
        <f t="shared" si="28"/>
        <v>0.35</v>
      </c>
      <c r="J130" s="819"/>
      <c r="K130" s="340">
        <f t="shared" si="29"/>
        <v>53.3</v>
      </c>
      <c r="L130" s="331">
        <f t="shared" si="30"/>
        <v>0</v>
      </c>
      <c r="M130" s="256"/>
      <c r="N130" s="336"/>
      <c r="O130" s="367"/>
      <c r="P130" s="92"/>
      <c r="Q130" s="46"/>
      <c r="R130" s="92"/>
      <c r="S130" s="46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</row>
    <row r="131" spans="1:48" ht="17.25" customHeight="1">
      <c r="A131" s="530" t="s">
        <v>756</v>
      </c>
      <c r="B131" s="135" t="s">
        <v>756</v>
      </c>
      <c r="C131" s="353">
        <v>3.5</v>
      </c>
      <c r="D131" s="219">
        <v>4.5</v>
      </c>
      <c r="E131" s="231"/>
      <c r="F131" s="350">
        <v>908</v>
      </c>
      <c r="G131" s="222">
        <v>72700</v>
      </c>
      <c r="H131" s="223"/>
      <c r="I131" s="145">
        <f t="shared" si="28"/>
        <v>0.35</v>
      </c>
      <c r="J131" s="820">
        <f>K131+K132</f>
        <v>643.5</v>
      </c>
      <c r="K131" s="340">
        <f t="shared" si="29"/>
        <v>590.20000000000005</v>
      </c>
      <c r="L131" s="331">
        <f t="shared" si="30"/>
        <v>0</v>
      </c>
      <c r="M131" s="256" t="s">
        <v>751</v>
      </c>
      <c r="N131" s="336">
        <v>0.17799999999999999</v>
      </c>
      <c r="O131" s="367">
        <v>17</v>
      </c>
      <c r="P131" s="92"/>
      <c r="Q131" s="46"/>
      <c r="R131" s="92"/>
      <c r="S131" s="46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</row>
    <row r="132" spans="1:48" ht="17.25" customHeight="1">
      <c r="A132" s="530"/>
      <c r="B132" s="135" t="s">
        <v>1537</v>
      </c>
      <c r="C132" s="353"/>
      <c r="D132" s="219"/>
      <c r="E132" s="231"/>
      <c r="F132" s="350">
        <v>82</v>
      </c>
      <c r="G132" s="222">
        <v>6600</v>
      </c>
      <c r="H132" s="223"/>
      <c r="I132" s="145">
        <f t="shared" si="28"/>
        <v>0.35</v>
      </c>
      <c r="J132" s="819"/>
      <c r="K132" s="340">
        <f t="shared" si="29"/>
        <v>53.3</v>
      </c>
      <c r="L132" s="331">
        <f t="shared" si="30"/>
        <v>0</v>
      </c>
      <c r="M132" s="256"/>
      <c r="N132" s="336"/>
      <c r="O132" s="367"/>
      <c r="P132" s="92"/>
      <c r="Q132" s="46"/>
      <c r="R132" s="92"/>
      <c r="S132" s="46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</row>
    <row r="133" spans="1:48" ht="17.25" customHeight="1">
      <c r="A133" s="530" t="s">
        <v>757</v>
      </c>
      <c r="B133" s="135" t="s">
        <v>757</v>
      </c>
      <c r="C133" s="219">
        <v>4.2</v>
      </c>
      <c r="D133" s="219">
        <v>5.2</v>
      </c>
      <c r="E133" s="231"/>
      <c r="F133" s="350">
        <v>960</v>
      </c>
      <c r="G133" s="222">
        <v>76800</v>
      </c>
      <c r="H133" s="223"/>
      <c r="I133" s="145">
        <f t="shared" si="28"/>
        <v>0.35</v>
      </c>
      <c r="J133" s="820">
        <f>K133+K134</f>
        <v>677.3</v>
      </c>
      <c r="K133" s="340">
        <f t="shared" si="29"/>
        <v>624</v>
      </c>
      <c r="L133" s="331">
        <f t="shared" si="30"/>
        <v>0</v>
      </c>
      <c r="M133" s="256" t="s">
        <v>751</v>
      </c>
      <c r="N133" s="336">
        <v>0.17799999999999999</v>
      </c>
      <c r="O133" s="367">
        <v>17</v>
      </c>
      <c r="P133" s="92"/>
      <c r="Q133" s="46"/>
      <c r="R133" s="92"/>
      <c r="S133" s="46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</row>
    <row r="134" spans="1:48" ht="17.25" customHeight="1">
      <c r="A134" s="530"/>
      <c r="B134" s="135" t="s">
        <v>1537</v>
      </c>
      <c r="C134" s="219"/>
      <c r="D134" s="219"/>
      <c r="E134" s="231"/>
      <c r="F134" s="350">
        <v>82</v>
      </c>
      <c r="G134" s="222">
        <v>6600</v>
      </c>
      <c r="H134" s="223"/>
      <c r="I134" s="145">
        <f t="shared" si="28"/>
        <v>0.35</v>
      </c>
      <c r="J134" s="819"/>
      <c r="K134" s="340">
        <f t="shared" si="29"/>
        <v>53.3</v>
      </c>
      <c r="L134" s="331">
        <f t="shared" si="30"/>
        <v>0</v>
      </c>
      <c r="M134" s="256"/>
      <c r="N134" s="336"/>
      <c r="O134" s="367"/>
      <c r="P134" s="92"/>
      <c r="Q134" s="46"/>
      <c r="R134" s="92"/>
      <c r="S134" s="46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</row>
    <row r="135" spans="1:48" ht="17.25" customHeight="1">
      <c r="A135" s="530" t="s">
        <v>883</v>
      </c>
      <c r="B135" s="135" t="s">
        <v>883</v>
      </c>
      <c r="C135" s="353">
        <v>1.1000000000000001</v>
      </c>
      <c r="D135" s="353">
        <v>1.3</v>
      </c>
      <c r="E135" s="231"/>
      <c r="F135" s="350">
        <v>792</v>
      </c>
      <c r="G135" s="222">
        <v>63400</v>
      </c>
      <c r="H135" s="223"/>
      <c r="I135" s="145">
        <f t="shared" si="28"/>
        <v>0.35</v>
      </c>
      <c r="J135" s="820">
        <f>K135+K136</f>
        <v>568.09999999999991</v>
      </c>
      <c r="K135" s="340">
        <f t="shared" ref="K135:K144" si="31">SUM(F135-(F135*I135))</f>
        <v>514.79999999999995</v>
      </c>
      <c r="L135" s="331">
        <f t="shared" ref="L135:L144" si="32">H135*K135</f>
        <v>0</v>
      </c>
      <c r="M135" s="256" t="s">
        <v>751</v>
      </c>
      <c r="N135" s="336">
        <v>0.17799999999999999</v>
      </c>
      <c r="O135" s="370">
        <v>14.5</v>
      </c>
      <c r="P135" s="92"/>
      <c r="Q135" s="46"/>
      <c r="R135" s="92"/>
      <c r="S135" s="46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</row>
    <row r="136" spans="1:48" ht="17.25" customHeight="1">
      <c r="A136" s="530"/>
      <c r="B136" s="135" t="s">
        <v>1536</v>
      </c>
      <c r="C136" s="353"/>
      <c r="D136" s="353"/>
      <c r="E136" s="231"/>
      <c r="F136" s="350">
        <v>82</v>
      </c>
      <c r="G136" s="222">
        <v>6600</v>
      </c>
      <c r="H136" s="223"/>
      <c r="I136" s="145">
        <f t="shared" si="28"/>
        <v>0.35</v>
      </c>
      <c r="J136" s="819"/>
      <c r="K136" s="340">
        <f t="shared" si="31"/>
        <v>53.3</v>
      </c>
      <c r="L136" s="331">
        <f t="shared" si="32"/>
        <v>0</v>
      </c>
      <c r="M136" s="256"/>
      <c r="N136" s="336"/>
      <c r="O136" s="370"/>
      <c r="P136" s="92"/>
      <c r="Q136" s="46"/>
      <c r="R136" s="92"/>
      <c r="S136" s="46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</row>
    <row r="137" spans="1:48" ht="17.25" customHeight="1">
      <c r="A137" s="530" t="s">
        <v>882</v>
      </c>
      <c r="B137" s="135" t="s">
        <v>882</v>
      </c>
      <c r="C137" s="355">
        <v>2.2000000000000002</v>
      </c>
      <c r="D137" s="257">
        <v>2.8</v>
      </c>
      <c r="E137" s="231"/>
      <c r="F137" s="350">
        <v>833</v>
      </c>
      <c r="G137" s="222">
        <v>66700</v>
      </c>
      <c r="H137" s="223"/>
      <c r="I137" s="145">
        <f t="shared" si="28"/>
        <v>0.35</v>
      </c>
      <c r="J137" s="820">
        <f>K137+K138</f>
        <v>594.75</v>
      </c>
      <c r="K137" s="340">
        <f t="shared" si="31"/>
        <v>541.45000000000005</v>
      </c>
      <c r="L137" s="331">
        <f t="shared" si="32"/>
        <v>0</v>
      </c>
      <c r="M137" s="256" t="s">
        <v>751</v>
      </c>
      <c r="N137" s="336">
        <v>0.17799999999999999</v>
      </c>
      <c r="O137" s="367">
        <v>14.5</v>
      </c>
      <c r="P137" s="92"/>
      <c r="Q137" s="46"/>
      <c r="R137" s="92"/>
      <c r="S137" s="46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</row>
    <row r="138" spans="1:48" ht="17.25" customHeight="1">
      <c r="A138" s="530"/>
      <c r="B138" s="135" t="s">
        <v>1536</v>
      </c>
      <c r="C138" s="355"/>
      <c r="D138" s="257"/>
      <c r="E138" s="231"/>
      <c r="F138" s="350">
        <v>82</v>
      </c>
      <c r="G138" s="222">
        <v>6600</v>
      </c>
      <c r="H138" s="223"/>
      <c r="I138" s="145">
        <f t="shared" si="28"/>
        <v>0.35</v>
      </c>
      <c r="J138" s="819"/>
      <c r="K138" s="340">
        <f t="shared" si="31"/>
        <v>53.3</v>
      </c>
      <c r="L138" s="331">
        <f t="shared" si="32"/>
        <v>0</v>
      </c>
      <c r="M138" s="256"/>
      <c r="N138" s="336"/>
      <c r="O138" s="367"/>
      <c r="P138" s="92"/>
      <c r="Q138" s="46"/>
      <c r="R138" s="92"/>
      <c r="S138" s="46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</row>
    <row r="139" spans="1:48" ht="17.25" customHeight="1">
      <c r="A139" s="530" t="s">
        <v>881</v>
      </c>
      <c r="B139" s="135" t="s">
        <v>881</v>
      </c>
      <c r="C139" s="353">
        <v>2.6</v>
      </c>
      <c r="D139" s="353">
        <v>3.5</v>
      </c>
      <c r="E139" s="231"/>
      <c r="F139" s="350">
        <v>885</v>
      </c>
      <c r="G139" s="222">
        <v>70800</v>
      </c>
      <c r="H139" s="223"/>
      <c r="I139" s="145">
        <f t="shared" si="28"/>
        <v>0.35</v>
      </c>
      <c r="J139" s="820">
        <f>K139+K140</f>
        <v>628.54999999999995</v>
      </c>
      <c r="K139" s="340">
        <f t="shared" si="31"/>
        <v>575.25</v>
      </c>
      <c r="L139" s="331">
        <f t="shared" si="32"/>
        <v>0</v>
      </c>
      <c r="M139" s="256" t="s">
        <v>751</v>
      </c>
      <c r="N139" s="336">
        <v>0.17799999999999999</v>
      </c>
      <c r="O139" s="367">
        <v>17</v>
      </c>
      <c r="P139" s="92"/>
      <c r="Q139" s="46"/>
      <c r="R139" s="92"/>
      <c r="S139" s="46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</row>
    <row r="140" spans="1:48" ht="17.25" customHeight="1">
      <c r="A140" s="530"/>
      <c r="B140" s="135" t="s">
        <v>1536</v>
      </c>
      <c r="C140" s="353"/>
      <c r="D140" s="353"/>
      <c r="E140" s="231"/>
      <c r="F140" s="350">
        <v>82</v>
      </c>
      <c r="G140" s="222">
        <v>6600</v>
      </c>
      <c r="H140" s="223"/>
      <c r="I140" s="145">
        <f t="shared" si="28"/>
        <v>0.35</v>
      </c>
      <c r="J140" s="819"/>
      <c r="K140" s="340">
        <f t="shared" si="31"/>
        <v>53.3</v>
      </c>
      <c r="L140" s="331">
        <f t="shared" si="32"/>
        <v>0</v>
      </c>
      <c r="M140" s="256"/>
      <c r="N140" s="336"/>
      <c r="O140" s="367"/>
      <c r="P140" s="92"/>
      <c r="Q140" s="46"/>
      <c r="R140" s="92"/>
      <c r="S140" s="46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</row>
    <row r="141" spans="1:48" ht="17.25" customHeight="1">
      <c r="A141" s="530" t="s">
        <v>880</v>
      </c>
      <c r="B141" s="135" t="s">
        <v>880</v>
      </c>
      <c r="C141" s="353">
        <v>3.5</v>
      </c>
      <c r="D141" s="219">
        <v>4.5</v>
      </c>
      <c r="E141" s="231"/>
      <c r="F141" s="350">
        <v>908</v>
      </c>
      <c r="G141" s="222">
        <v>72700</v>
      </c>
      <c r="H141" s="223"/>
      <c r="I141" s="145">
        <f t="shared" si="28"/>
        <v>0.35</v>
      </c>
      <c r="J141" s="820">
        <f>K141+K142</f>
        <v>643.5</v>
      </c>
      <c r="K141" s="340">
        <f t="shared" si="31"/>
        <v>590.20000000000005</v>
      </c>
      <c r="L141" s="331">
        <f t="shared" si="32"/>
        <v>0</v>
      </c>
      <c r="M141" s="256" t="s">
        <v>751</v>
      </c>
      <c r="N141" s="336">
        <v>0.17799999999999999</v>
      </c>
      <c r="O141" s="367">
        <v>17</v>
      </c>
      <c r="P141" s="92"/>
      <c r="Q141" s="46"/>
      <c r="R141" s="92"/>
      <c r="S141" s="46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</row>
    <row r="142" spans="1:48" ht="17.25" customHeight="1">
      <c r="A142" s="530"/>
      <c r="B142" s="135" t="s">
        <v>1537</v>
      </c>
      <c r="C142" s="353"/>
      <c r="D142" s="219"/>
      <c r="E142" s="231"/>
      <c r="F142" s="350">
        <v>82</v>
      </c>
      <c r="G142" s="222">
        <v>6600</v>
      </c>
      <c r="H142" s="223"/>
      <c r="I142" s="145">
        <f t="shared" si="28"/>
        <v>0.35</v>
      </c>
      <c r="J142" s="819"/>
      <c r="K142" s="340">
        <f t="shared" si="31"/>
        <v>53.3</v>
      </c>
      <c r="L142" s="331">
        <f t="shared" si="32"/>
        <v>0</v>
      </c>
      <c r="M142" s="256"/>
      <c r="N142" s="336"/>
      <c r="O142" s="367"/>
      <c r="P142" s="92"/>
      <c r="Q142" s="46"/>
      <c r="R142" s="92"/>
      <c r="S142" s="46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</row>
    <row r="143" spans="1:48" ht="17.25" customHeight="1">
      <c r="A143" s="530" t="s">
        <v>757</v>
      </c>
      <c r="B143" s="135" t="s">
        <v>757</v>
      </c>
      <c r="C143" s="219">
        <v>4.2</v>
      </c>
      <c r="D143" s="219">
        <v>5.2</v>
      </c>
      <c r="E143" s="231"/>
      <c r="F143" s="350">
        <v>960</v>
      </c>
      <c r="G143" s="222">
        <v>76800</v>
      </c>
      <c r="H143" s="223"/>
      <c r="I143" s="145">
        <f t="shared" si="28"/>
        <v>0.35</v>
      </c>
      <c r="J143" s="820">
        <f>K143+K144</f>
        <v>677.3</v>
      </c>
      <c r="K143" s="340">
        <f t="shared" si="31"/>
        <v>624</v>
      </c>
      <c r="L143" s="331">
        <f t="shared" si="32"/>
        <v>0</v>
      </c>
      <c r="M143" s="256" t="s">
        <v>751</v>
      </c>
      <c r="N143" s="336">
        <v>0.17799999999999999</v>
      </c>
      <c r="O143" s="367">
        <v>17</v>
      </c>
      <c r="P143" s="92"/>
      <c r="Q143" s="46"/>
      <c r="R143" s="92"/>
      <c r="S143" s="46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</row>
    <row r="144" spans="1:48" ht="17.25" customHeight="1">
      <c r="A144" s="530"/>
      <c r="B144" s="135" t="s">
        <v>1537</v>
      </c>
      <c r="C144" s="219"/>
      <c r="D144" s="219"/>
      <c r="E144" s="231"/>
      <c r="F144" s="350">
        <v>82</v>
      </c>
      <c r="G144" s="222">
        <v>6600</v>
      </c>
      <c r="H144" s="223"/>
      <c r="I144" s="145">
        <f t="shared" si="28"/>
        <v>0.35</v>
      </c>
      <c r="J144" s="819"/>
      <c r="K144" s="340">
        <f t="shared" si="31"/>
        <v>53.3</v>
      </c>
      <c r="L144" s="331">
        <f t="shared" si="32"/>
        <v>0</v>
      </c>
      <c r="M144" s="256"/>
      <c r="N144" s="336"/>
      <c r="O144" s="367"/>
      <c r="P144" s="92"/>
      <c r="Q144" s="46"/>
      <c r="R144" s="92"/>
      <c r="S144" s="46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</row>
    <row r="145" spans="1:48" ht="30" customHeight="1">
      <c r="A145" s="443" t="s">
        <v>759</v>
      </c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50"/>
      <c r="M145" s="251"/>
      <c r="N145" s="251"/>
      <c r="O145" s="442"/>
      <c r="P145" s="92"/>
      <c r="Q145" s="46"/>
      <c r="R145" s="92"/>
      <c r="S145" s="46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</row>
    <row r="146" spans="1:48" ht="30" customHeight="1">
      <c r="A146" s="537" t="s">
        <v>176</v>
      </c>
      <c r="B146" s="538"/>
      <c r="C146" s="538"/>
      <c r="D146" s="538"/>
      <c r="E146" s="538"/>
      <c r="F146" s="538"/>
      <c r="G146" s="538"/>
      <c r="H146" s="538"/>
      <c r="I146" s="538"/>
      <c r="J146" s="538"/>
      <c r="K146" s="538"/>
      <c r="L146" s="538"/>
      <c r="M146" s="538"/>
      <c r="N146" s="538"/>
      <c r="O146" s="539"/>
      <c r="P146" s="92"/>
      <c r="Q146" s="46"/>
      <c r="R146" s="92"/>
      <c r="S146" s="46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</row>
    <row r="147" spans="1:48" ht="15" customHeight="1">
      <c r="A147" s="530" t="s">
        <v>862</v>
      </c>
      <c r="B147" s="135" t="s">
        <v>748</v>
      </c>
      <c r="C147" s="827">
        <v>5.6</v>
      </c>
      <c r="D147" s="827">
        <v>6.3</v>
      </c>
      <c r="E147" s="820">
        <f>F147+F148</f>
        <v>1648</v>
      </c>
      <c r="F147" s="350">
        <v>1282</v>
      </c>
      <c r="G147" s="222">
        <v>102600</v>
      </c>
      <c r="H147" s="262"/>
      <c r="I147" s="145">
        <f t="shared" ref="I147:I186" si="33">$D$3</f>
        <v>0.35</v>
      </c>
      <c r="J147" s="820">
        <f t="shared" ref="J147:J165" si="34">K147+K148</f>
        <v>1071.2</v>
      </c>
      <c r="K147" s="340">
        <f t="shared" ref="K147:K166" si="35">SUM(F147-(F147*I147))</f>
        <v>833.3</v>
      </c>
      <c r="L147" s="331">
        <f t="shared" ref="L147:L166" si="36">H147*K147</f>
        <v>0</v>
      </c>
      <c r="M147" s="263" t="s">
        <v>356</v>
      </c>
      <c r="N147" s="264">
        <v>0.17399999999999999</v>
      </c>
      <c r="O147" s="444">
        <v>24.5</v>
      </c>
      <c r="P147" s="92"/>
      <c r="Q147" s="46"/>
      <c r="R147" s="92"/>
      <c r="S147" s="46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</row>
    <row r="148" spans="1:48" ht="15" customHeight="1">
      <c r="A148" s="531"/>
      <c r="B148" s="135" t="s">
        <v>1547</v>
      </c>
      <c r="C148" s="827"/>
      <c r="D148" s="827"/>
      <c r="E148" s="819"/>
      <c r="F148" s="350">
        <v>366</v>
      </c>
      <c r="G148" s="222">
        <v>29300</v>
      </c>
      <c r="H148" s="262"/>
      <c r="I148" s="145">
        <f t="shared" si="33"/>
        <v>0.35</v>
      </c>
      <c r="J148" s="819"/>
      <c r="K148" s="340">
        <f t="shared" si="35"/>
        <v>237.9</v>
      </c>
      <c r="L148" s="331">
        <f t="shared" si="36"/>
        <v>0</v>
      </c>
      <c r="M148" s="338" t="s">
        <v>637</v>
      </c>
      <c r="N148" s="264">
        <v>0.11700000000000001</v>
      </c>
      <c r="O148" s="444">
        <v>8.5</v>
      </c>
      <c r="P148" s="92"/>
      <c r="Q148" s="46"/>
      <c r="R148" s="92"/>
      <c r="S148" s="46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</row>
    <row r="149" spans="1:48" ht="15" customHeight="1">
      <c r="A149" s="530" t="s">
        <v>863</v>
      </c>
      <c r="B149" s="135" t="s">
        <v>1548</v>
      </c>
      <c r="C149" s="827">
        <v>7.1</v>
      </c>
      <c r="D149" s="827">
        <v>8</v>
      </c>
      <c r="E149" s="820">
        <f>F149+F150</f>
        <v>1666</v>
      </c>
      <c r="F149" s="350">
        <v>1300</v>
      </c>
      <c r="G149" s="222">
        <v>104000</v>
      </c>
      <c r="H149" s="262"/>
      <c r="I149" s="145">
        <f t="shared" si="33"/>
        <v>0.35</v>
      </c>
      <c r="J149" s="820">
        <f t="shared" si="34"/>
        <v>1082.9000000000001</v>
      </c>
      <c r="K149" s="340">
        <f t="shared" si="35"/>
        <v>845</v>
      </c>
      <c r="L149" s="331">
        <f t="shared" si="36"/>
        <v>0</v>
      </c>
      <c r="M149" s="263" t="s">
        <v>356</v>
      </c>
      <c r="N149" s="264">
        <v>0.17399999999999999</v>
      </c>
      <c r="O149" s="444">
        <v>24.5</v>
      </c>
      <c r="P149" s="92"/>
      <c r="Q149" s="46"/>
      <c r="R149" s="92"/>
      <c r="S149" s="46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</row>
    <row r="150" spans="1:48" ht="15" customHeight="1">
      <c r="A150" s="531"/>
      <c r="B150" s="135" t="s">
        <v>1547</v>
      </c>
      <c r="C150" s="827"/>
      <c r="D150" s="827"/>
      <c r="E150" s="819"/>
      <c r="F150" s="350">
        <v>366</v>
      </c>
      <c r="G150" s="222">
        <v>29300</v>
      </c>
      <c r="H150" s="262"/>
      <c r="I150" s="145">
        <f t="shared" si="33"/>
        <v>0.35</v>
      </c>
      <c r="J150" s="819"/>
      <c r="K150" s="340">
        <f t="shared" si="35"/>
        <v>237.9</v>
      </c>
      <c r="L150" s="331">
        <f t="shared" si="36"/>
        <v>0</v>
      </c>
      <c r="M150" s="338" t="s">
        <v>637</v>
      </c>
      <c r="N150" s="264">
        <v>0.11700000000000001</v>
      </c>
      <c r="O150" s="444">
        <v>8.5</v>
      </c>
      <c r="P150" s="92"/>
      <c r="Q150" s="46"/>
      <c r="R150" s="92"/>
      <c r="S150" s="46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</row>
    <row r="151" spans="1:48" ht="15" customHeight="1">
      <c r="A151" s="530" t="s">
        <v>864</v>
      </c>
      <c r="B151" s="135" t="s">
        <v>749</v>
      </c>
      <c r="C151" s="827">
        <v>9</v>
      </c>
      <c r="D151" s="827">
        <v>10</v>
      </c>
      <c r="E151" s="820">
        <f>F151+F152</f>
        <v>1745</v>
      </c>
      <c r="F151" s="350">
        <v>1379</v>
      </c>
      <c r="G151" s="222">
        <v>110400</v>
      </c>
      <c r="H151" s="262"/>
      <c r="I151" s="145">
        <f t="shared" si="33"/>
        <v>0.35</v>
      </c>
      <c r="J151" s="820">
        <f t="shared" si="34"/>
        <v>1134.25</v>
      </c>
      <c r="K151" s="340">
        <f t="shared" si="35"/>
        <v>896.35</v>
      </c>
      <c r="L151" s="331">
        <f t="shared" si="36"/>
        <v>0</v>
      </c>
      <c r="M151" s="265" t="s">
        <v>761</v>
      </c>
      <c r="N151" s="264">
        <v>0.33900000000000002</v>
      </c>
      <c r="O151" s="444">
        <v>26.5</v>
      </c>
      <c r="P151" s="92"/>
      <c r="Q151" s="46"/>
      <c r="R151" s="92"/>
      <c r="S151" s="46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</row>
    <row r="152" spans="1:48" ht="15" customHeight="1">
      <c r="A152" s="531"/>
      <c r="B152" s="135" t="s">
        <v>1547</v>
      </c>
      <c r="C152" s="827"/>
      <c r="D152" s="827"/>
      <c r="E152" s="819"/>
      <c r="F152" s="350">
        <v>366</v>
      </c>
      <c r="G152" s="222">
        <v>29300</v>
      </c>
      <c r="H152" s="262"/>
      <c r="I152" s="145">
        <f t="shared" si="33"/>
        <v>0.35</v>
      </c>
      <c r="J152" s="819"/>
      <c r="K152" s="340">
        <f t="shared" si="35"/>
        <v>237.9</v>
      </c>
      <c r="L152" s="331">
        <f t="shared" si="36"/>
        <v>0</v>
      </c>
      <c r="M152" s="338" t="s">
        <v>637</v>
      </c>
      <c r="N152" s="264">
        <v>0.11700000000000001</v>
      </c>
      <c r="O152" s="444">
        <v>8.5</v>
      </c>
      <c r="P152" s="92"/>
      <c r="Q152" s="46"/>
      <c r="R152" s="92"/>
      <c r="S152" s="46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</row>
    <row r="153" spans="1:48" ht="15" customHeight="1">
      <c r="A153" s="828" t="s">
        <v>769</v>
      </c>
      <c r="B153" s="135" t="s">
        <v>769</v>
      </c>
      <c r="C153" s="827">
        <v>5.6</v>
      </c>
      <c r="D153" s="827">
        <v>6.3</v>
      </c>
      <c r="E153" s="820">
        <f>F153+F154</f>
        <v>1792</v>
      </c>
      <c r="F153" s="350">
        <v>1426</v>
      </c>
      <c r="G153" s="222">
        <v>114100</v>
      </c>
      <c r="H153" s="262"/>
      <c r="I153" s="145">
        <f t="shared" si="33"/>
        <v>0.35</v>
      </c>
      <c r="J153" s="820">
        <f t="shared" si="34"/>
        <v>1164.8000000000002</v>
      </c>
      <c r="K153" s="340">
        <f t="shared" si="35"/>
        <v>926.90000000000009</v>
      </c>
      <c r="L153" s="331">
        <f t="shared" si="36"/>
        <v>0</v>
      </c>
      <c r="M153" s="265" t="s">
        <v>761</v>
      </c>
      <c r="N153" s="264">
        <v>0.33900000000000002</v>
      </c>
      <c r="O153" s="444">
        <v>26.5</v>
      </c>
      <c r="P153" s="92"/>
      <c r="Q153" s="46"/>
      <c r="R153" s="92"/>
      <c r="S153" s="46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</row>
    <row r="154" spans="1:48" ht="15" customHeight="1">
      <c r="A154" s="531"/>
      <c r="B154" s="135" t="s">
        <v>1547</v>
      </c>
      <c r="C154" s="827"/>
      <c r="D154" s="827"/>
      <c r="E154" s="819"/>
      <c r="F154" s="350">
        <v>366</v>
      </c>
      <c r="G154" s="222">
        <v>29300</v>
      </c>
      <c r="H154" s="262"/>
      <c r="I154" s="145">
        <f t="shared" si="33"/>
        <v>0.35</v>
      </c>
      <c r="J154" s="819"/>
      <c r="K154" s="340">
        <f t="shared" si="35"/>
        <v>237.9</v>
      </c>
      <c r="L154" s="331">
        <f t="shared" si="36"/>
        <v>0</v>
      </c>
      <c r="M154" s="338" t="s">
        <v>637</v>
      </c>
      <c r="N154" s="264">
        <v>0.11700000000000001</v>
      </c>
      <c r="O154" s="444">
        <v>8.5</v>
      </c>
      <c r="P154" s="92"/>
      <c r="Q154" s="46"/>
      <c r="R154" s="92"/>
      <c r="S154" s="46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</row>
    <row r="155" spans="1:48" ht="15" customHeight="1">
      <c r="A155" s="828" t="s">
        <v>1492</v>
      </c>
      <c r="B155" s="135" t="s">
        <v>1548</v>
      </c>
      <c r="C155" s="827">
        <v>7.1</v>
      </c>
      <c r="D155" s="827">
        <v>8</v>
      </c>
      <c r="E155" s="820">
        <f>F155+F156</f>
        <v>1666</v>
      </c>
      <c r="F155" s="350">
        <v>1300</v>
      </c>
      <c r="G155" s="222">
        <v>104000</v>
      </c>
      <c r="H155" s="262"/>
      <c r="I155" s="145">
        <f t="shared" si="33"/>
        <v>0.35</v>
      </c>
      <c r="J155" s="820">
        <f t="shared" si="34"/>
        <v>1082.9000000000001</v>
      </c>
      <c r="K155" s="340">
        <f t="shared" si="35"/>
        <v>845</v>
      </c>
      <c r="L155" s="331">
        <f t="shared" si="36"/>
        <v>0</v>
      </c>
      <c r="M155" s="265" t="s">
        <v>761</v>
      </c>
      <c r="N155" s="264">
        <v>0.33900000000000002</v>
      </c>
      <c r="O155" s="444">
        <v>26.5</v>
      </c>
      <c r="P155" s="92"/>
      <c r="Q155" s="46"/>
      <c r="R155" s="92"/>
      <c r="S155" s="46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</row>
    <row r="156" spans="1:48" ht="15" customHeight="1">
      <c r="A156" s="531"/>
      <c r="B156" s="135" t="s">
        <v>1547</v>
      </c>
      <c r="C156" s="827"/>
      <c r="D156" s="827"/>
      <c r="E156" s="819"/>
      <c r="F156" s="350">
        <v>366</v>
      </c>
      <c r="G156" s="222">
        <v>29300</v>
      </c>
      <c r="H156" s="262"/>
      <c r="I156" s="145">
        <f t="shared" si="33"/>
        <v>0.35</v>
      </c>
      <c r="J156" s="819"/>
      <c r="K156" s="340">
        <f t="shared" si="35"/>
        <v>237.9</v>
      </c>
      <c r="L156" s="331">
        <f t="shared" si="36"/>
        <v>0</v>
      </c>
      <c r="M156" s="338" t="s">
        <v>637</v>
      </c>
      <c r="N156" s="264">
        <v>0.11700000000000001</v>
      </c>
      <c r="O156" s="444">
        <v>8.5</v>
      </c>
      <c r="P156" s="92"/>
      <c r="Q156" s="46"/>
      <c r="R156" s="92"/>
      <c r="S156" s="46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</row>
    <row r="157" spans="1:48" ht="15" customHeight="1">
      <c r="A157" s="828" t="s">
        <v>760</v>
      </c>
      <c r="B157" s="135" t="s">
        <v>760</v>
      </c>
      <c r="C157" s="827">
        <v>9</v>
      </c>
      <c r="D157" s="827">
        <v>10</v>
      </c>
      <c r="E157" s="820">
        <f>F157+F158</f>
        <v>1897</v>
      </c>
      <c r="F157" s="350">
        <v>1531</v>
      </c>
      <c r="G157" s="222">
        <v>122500</v>
      </c>
      <c r="H157" s="262"/>
      <c r="I157" s="145">
        <f t="shared" si="33"/>
        <v>0.35</v>
      </c>
      <c r="J157" s="820">
        <f t="shared" si="34"/>
        <v>1233.05</v>
      </c>
      <c r="K157" s="340">
        <f t="shared" si="35"/>
        <v>995.15</v>
      </c>
      <c r="L157" s="331">
        <f t="shared" si="36"/>
        <v>0</v>
      </c>
      <c r="M157" s="265" t="s">
        <v>761</v>
      </c>
      <c r="N157" s="264">
        <v>0.33900000000000002</v>
      </c>
      <c r="O157" s="444">
        <v>26.5</v>
      </c>
      <c r="P157" s="92"/>
      <c r="Q157" s="46"/>
      <c r="R157" s="92"/>
      <c r="S157" s="46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</row>
    <row r="158" spans="1:48" ht="15" customHeight="1">
      <c r="A158" s="531"/>
      <c r="B158" s="135" t="s">
        <v>1547</v>
      </c>
      <c r="C158" s="827"/>
      <c r="D158" s="827"/>
      <c r="E158" s="819"/>
      <c r="F158" s="350">
        <v>366</v>
      </c>
      <c r="G158" s="222">
        <v>29300</v>
      </c>
      <c r="H158" s="262"/>
      <c r="I158" s="145">
        <f t="shared" si="33"/>
        <v>0.35</v>
      </c>
      <c r="J158" s="819"/>
      <c r="K158" s="340">
        <f t="shared" si="35"/>
        <v>237.9</v>
      </c>
      <c r="L158" s="331">
        <f t="shared" si="36"/>
        <v>0</v>
      </c>
      <c r="M158" s="338" t="s">
        <v>637</v>
      </c>
      <c r="N158" s="264">
        <v>0.11700000000000001</v>
      </c>
      <c r="O158" s="444">
        <v>8.5</v>
      </c>
      <c r="P158" s="92"/>
      <c r="Q158" s="46"/>
      <c r="R158" s="92"/>
      <c r="S158" s="46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</row>
    <row r="159" spans="1:48" ht="15" customHeight="1">
      <c r="A159" s="828" t="s">
        <v>1488</v>
      </c>
      <c r="B159" s="135" t="s">
        <v>768</v>
      </c>
      <c r="C159" s="827">
        <v>10</v>
      </c>
      <c r="D159" s="827">
        <v>11.2</v>
      </c>
      <c r="E159" s="820">
        <f>F159+F160</f>
        <v>1932</v>
      </c>
      <c r="F159" s="350">
        <v>1566</v>
      </c>
      <c r="G159" s="222">
        <v>125300</v>
      </c>
      <c r="H159" s="262"/>
      <c r="I159" s="145">
        <f t="shared" si="33"/>
        <v>0.35</v>
      </c>
      <c r="J159" s="820">
        <f t="shared" si="34"/>
        <v>1255.8000000000002</v>
      </c>
      <c r="K159" s="340">
        <f t="shared" si="35"/>
        <v>1017.9000000000001</v>
      </c>
      <c r="L159" s="331">
        <f t="shared" si="36"/>
        <v>0</v>
      </c>
      <c r="M159" s="265" t="s">
        <v>761</v>
      </c>
      <c r="N159" s="264">
        <v>0.33900000000000002</v>
      </c>
      <c r="O159" s="444">
        <v>26.5</v>
      </c>
      <c r="P159" s="92"/>
      <c r="Q159" s="46"/>
      <c r="R159" s="92"/>
      <c r="S159" s="46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</row>
    <row r="160" spans="1:48" ht="15" customHeight="1">
      <c r="A160" s="531"/>
      <c r="B160" s="135" t="s">
        <v>1547</v>
      </c>
      <c r="C160" s="827"/>
      <c r="D160" s="827"/>
      <c r="E160" s="819"/>
      <c r="F160" s="350">
        <v>366</v>
      </c>
      <c r="G160" s="222">
        <v>29300</v>
      </c>
      <c r="H160" s="262"/>
      <c r="I160" s="145">
        <f t="shared" si="33"/>
        <v>0.35</v>
      </c>
      <c r="J160" s="819"/>
      <c r="K160" s="340">
        <f t="shared" si="35"/>
        <v>237.9</v>
      </c>
      <c r="L160" s="331">
        <f t="shared" si="36"/>
        <v>0</v>
      </c>
      <c r="M160" s="338" t="s">
        <v>637</v>
      </c>
      <c r="N160" s="264">
        <v>0.11700000000000001</v>
      </c>
      <c r="O160" s="444">
        <v>8.5</v>
      </c>
      <c r="P160" s="92"/>
      <c r="Q160" s="46"/>
      <c r="R160" s="92"/>
      <c r="S160" s="46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</row>
    <row r="161" spans="1:48" ht="15" customHeight="1">
      <c r="A161" s="828" t="s">
        <v>1489</v>
      </c>
      <c r="B161" s="135" t="s">
        <v>762</v>
      </c>
      <c r="C161" s="827">
        <v>11.2</v>
      </c>
      <c r="D161" s="827">
        <v>12.5</v>
      </c>
      <c r="E161" s="820">
        <f>F161+F162</f>
        <v>1970</v>
      </c>
      <c r="F161" s="350">
        <v>1604</v>
      </c>
      <c r="G161" s="222">
        <v>128400</v>
      </c>
      <c r="H161" s="262"/>
      <c r="I161" s="145">
        <f t="shared" si="33"/>
        <v>0.35</v>
      </c>
      <c r="J161" s="820">
        <f t="shared" si="34"/>
        <v>1280.5</v>
      </c>
      <c r="K161" s="340">
        <f t="shared" si="35"/>
        <v>1042.5999999999999</v>
      </c>
      <c r="L161" s="331">
        <f t="shared" si="36"/>
        <v>0</v>
      </c>
      <c r="M161" s="265" t="s">
        <v>761</v>
      </c>
      <c r="N161" s="264">
        <v>0.33900000000000002</v>
      </c>
      <c r="O161" s="444">
        <v>26.5</v>
      </c>
      <c r="P161" s="92"/>
      <c r="Q161" s="46"/>
      <c r="R161" s="92"/>
      <c r="S161" s="46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</row>
    <row r="162" spans="1:48" ht="15" customHeight="1">
      <c r="A162" s="531"/>
      <c r="B162" s="135" t="s">
        <v>1547</v>
      </c>
      <c r="C162" s="827"/>
      <c r="D162" s="827"/>
      <c r="E162" s="819"/>
      <c r="F162" s="350">
        <v>366</v>
      </c>
      <c r="G162" s="222">
        <v>29300</v>
      </c>
      <c r="H162" s="262"/>
      <c r="I162" s="145">
        <f t="shared" si="33"/>
        <v>0.35</v>
      </c>
      <c r="J162" s="819"/>
      <c r="K162" s="340">
        <f t="shared" si="35"/>
        <v>237.9</v>
      </c>
      <c r="L162" s="331">
        <f t="shared" si="36"/>
        <v>0</v>
      </c>
      <c r="M162" s="338" t="s">
        <v>637</v>
      </c>
      <c r="N162" s="264">
        <v>0.11700000000000001</v>
      </c>
      <c r="O162" s="444">
        <v>8.5</v>
      </c>
      <c r="P162" s="92"/>
      <c r="Q162" s="46"/>
      <c r="R162" s="92"/>
      <c r="S162" s="46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</row>
    <row r="163" spans="1:48" ht="15" customHeight="1">
      <c r="A163" s="828" t="s">
        <v>763</v>
      </c>
      <c r="B163" s="135" t="s">
        <v>763</v>
      </c>
      <c r="C163" s="827">
        <v>12.5</v>
      </c>
      <c r="D163" s="827">
        <v>14</v>
      </c>
      <c r="E163" s="820">
        <f>F163+F164</f>
        <v>2199</v>
      </c>
      <c r="F163" s="350">
        <v>1833</v>
      </c>
      <c r="G163" s="222">
        <v>146700</v>
      </c>
      <c r="H163" s="262"/>
      <c r="I163" s="145">
        <f t="shared" si="33"/>
        <v>0.35</v>
      </c>
      <c r="J163" s="820">
        <f t="shared" si="34"/>
        <v>1429.3500000000001</v>
      </c>
      <c r="K163" s="340">
        <f t="shared" si="35"/>
        <v>1191.45</v>
      </c>
      <c r="L163" s="331">
        <f t="shared" si="36"/>
        <v>0</v>
      </c>
      <c r="M163" s="265" t="s">
        <v>761</v>
      </c>
      <c r="N163" s="264">
        <v>0.33900000000000002</v>
      </c>
      <c r="O163" s="444">
        <v>26.5</v>
      </c>
      <c r="P163" s="92"/>
      <c r="Q163" s="46"/>
      <c r="R163" s="92"/>
      <c r="S163" s="46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</row>
    <row r="164" spans="1:48" ht="15" customHeight="1">
      <c r="A164" s="531"/>
      <c r="B164" s="135" t="s">
        <v>1547</v>
      </c>
      <c r="C164" s="827"/>
      <c r="D164" s="827"/>
      <c r="E164" s="819"/>
      <c r="F164" s="350">
        <v>366</v>
      </c>
      <c r="G164" s="222">
        <v>29300</v>
      </c>
      <c r="H164" s="262"/>
      <c r="I164" s="145">
        <f t="shared" si="33"/>
        <v>0.35</v>
      </c>
      <c r="J164" s="819"/>
      <c r="K164" s="340">
        <f t="shared" si="35"/>
        <v>237.9</v>
      </c>
      <c r="L164" s="331">
        <f t="shared" si="36"/>
        <v>0</v>
      </c>
      <c r="M164" s="338" t="s">
        <v>637</v>
      </c>
      <c r="N164" s="264">
        <v>0.11700000000000001</v>
      </c>
      <c r="O164" s="444">
        <v>8.5</v>
      </c>
      <c r="P164" s="92"/>
      <c r="Q164" s="46"/>
      <c r="R164" s="92"/>
      <c r="S164" s="46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</row>
    <row r="165" spans="1:48" ht="15" customHeight="1">
      <c r="A165" s="828" t="s">
        <v>764</v>
      </c>
      <c r="B165" s="135" t="s">
        <v>764</v>
      </c>
      <c r="C165" s="827">
        <v>14</v>
      </c>
      <c r="D165" s="827">
        <v>16</v>
      </c>
      <c r="E165" s="820">
        <f>F165+F166</f>
        <v>2483</v>
      </c>
      <c r="F165" s="350">
        <v>2117</v>
      </c>
      <c r="G165" s="222">
        <v>169400</v>
      </c>
      <c r="H165" s="262"/>
      <c r="I165" s="145">
        <f t="shared" si="33"/>
        <v>0.35</v>
      </c>
      <c r="J165" s="820">
        <f t="shared" si="34"/>
        <v>1613.9500000000003</v>
      </c>
      <c r="K165" s="340">
        <f t="shared" si="35"/>
        <v>1376.0500000000002</v>
      </c>
      <c r="L165" s="331">
        <f t="shared" si="36"/>
        <v>0</v>
      </c>
      <c r="M165" s="265" t="s">
        <v>761</v>
      </c>
      <c r="N165" s="264">
        <v>0.33900000000000002</v>
      </c>
      <c r="O165" s="444">
        <v>26.5</v>
      </c>
      <c r="P165" s="92"/>
      <c r="Q165" s="46"/>
      <c r="R165" s="92"/>
      <c r="S165" s="46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</row>
    <row r="166" spans="1:48" ht="15" customHeight="1">
      <c r="A166" s="531"/>
      <c r="B166" s="135" t="s">
        <v>1547</v>
      </c>
      <c r="C166" s="827"/>
      <c r="D166" s="827"/>
      <c r="E166" s="819"/>
      <c r="F166" s="350">
        <v>366</v>
      </c>
      <c r="G166" s="222">
        <v>29300</v>
      </c>
      <c r="H166" s="262"/>
      <c r="I166" s="145">
        <f t="shared" si="33"/>
        <v>0.35</v>
      </c>
      <c r="J166" s="819"/>
      <c r="K166" s="340">
        <f t="shared" si="35"/>
        <v>237.9</v>
      </c>
      <c r="L166" s="331">
        <f t="shared" si="36"/>
        <v>0</v>
      </c>
      <c r="M166" s="338" t="s">
        <v>637</v>
      </c>
      <c r="N166" s="264">
        <v>0.11700000000000001</v>
      </c>
      <c r="O166" s="444">
        <v>8.5</v>
      </c>
      <c r="P166" s="92"/>
      <c r="Q166" s="46"/>
      <c r="R166" s="92"/>
      <c r="S166" s="46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</row>
    <row r="167" spans="1:48" ht="15" customHeight="1">
      <c r="A167" s="530" t="s">
        <v>865</v>
      </c>
      <c r="B167" s="135" t="s">
        <v>865</v>
      </c>
      <c r="C167" s="827">
        <v>5.6</v>
      </c>
      <c r="D167" s="827">
        <v>6.3</v>
      </c>
      <c r="E167" s="820">
        <f>F167+F168</f>
        <v>1648</v>
      </c>
      <c r="F167" s="350">
        <v>1282</v>
      </c>
      <c r="G167" s="222">
        <v>102600</v>
      </c>
      <c r="H167" s="262"/>
      <c r="I167" s="145">
        <f t="shared" si="33"/>
        <v>0.35</v>
      </c>
      <c r="J167" s="820">
        <f t="shared" ref="J167" si="37">K167+K168</f>
        <v>1071.2</v>
      </c>
      <c r="K167" s="340">
        <f t="shared" ref="K167:K186" si="38">SUM(F167-(F167*I167))</f>
        <v>833.3</v>
      </c>
      <c r="L167" s="331">
        <f t="shared" ref="L167:L186" si="39">H167*K167</f>
        <v>0</v>
      </c>
      <c r="M167" s="263" t="s">
        <v>356</v>
      </c>
      <c r="N167" s="264">
        <v>0.17399999999999999</v>
      </c>
      <c r="O167" s="444">
        <v>24.5</v>
      </c>
      <c r="P167" s="92"/>
      <c r="Q167" s="46"/>
      <c r="R167" s="92"/>
      <c r="S167" s="46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</row>
    <row r="168" spans="1:48" ht="15" customHeight="1">
      <c r="A168" s="531"/>
      <c r="B168" s="135" t="s">
        <v>1547</v>
      </c>
      <c r="C168" s="827"/>
      <c r="D168" s="827"/>
      <c r="E168" s="819"/>
      <c r="F168" s="350">
        <v>366</v>
      </c>
      <c r="G168" s="222">
        <v>29300</v>
      </c>
      <c r="H168" s="262"/>
      <c r="I168" s="145">
        <f t="shared" si="33"/>
        <v>0.35</v>
      </c>
      <c r="J168" s="819"/>
      <c r="K168" s="340">
        <f t="shared" si="38"/>
        <v>237.9</v>
      </c>
      <c r="L168" s="331">
        <f t="shared" si="39"/>
        <v>0</v>
      </c>
      <c r="M168" s="338" t="s">
        <v>637</v>
      </c>
      <c r="N168" s="264">
        <v>0.11700000000000001</v>
      </c>
      <c r="O168" s="444">
        <v>8.5</v>
      </c>
      <c r="P168" s="92"/>
      <c r="Q168" s="46"/>
      <c r="R168" s="92"/>
      <c r="S168" s="46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</row>
    <row r="169" spans="1:48" ht="15" customHeight="1">
      <c r="A169" s="530" t="s">
        <v>1486</v>
      </c>
      <c r="B169" s="135" t="s">
        <v>866</v>
      </c>
      <c r="C169" s="827">
        <v>7.1</v>
      </c>
      <c r="D169" s="827">
        <v>8</v>
      </c>
      <c r="E169" s="820">
        <f>F169+F170</f>
        <v>1666</v>
      </c>
      <c r="F169" s="350">
        <v>1300</v>
      </c>
      <c r="G169" s="222">
        <v>104000</v>
      </c>
      <c r="H169" s="262"/>
      <c r="I169" s="145">
        <f t="shared" si="33"/>
        <v>0.35</v>
      </c>
      <c r="J169" s="820">
        <f t="shared" ref="J169" si="40">K169+K170</f>
        <v>1082.9000000000001</v>
      </c>
      <c r="K169" s="340">
        <f t="shared" si="38"/>
        <v>845</v>
      </c>
      <c r="L169" s="331">
        <f t="shared" si="39"/>
        <v>0</v>
      </c>
      <c r="M169" s="263" t="s">
        <v>356</v>
      </c>
      <c r="N169" s="264">
        <v>0.17399999999999999</v>
      </c>
      <c r="O169" s="444">
        <v>24.5</v>
      </c>
      <c r="P169" s="92"/>
      <c r="Q169" s="46"/>
      <c r="R169" s="92"/>
      <c r="S169" s="46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</row>
    <row r="170" spans="1:48" ht="15" customHeight="1">
      <c r="A170" s="531"/>
      <c r="B170" s="135" t="s">
        <v>1547</v>
      </c>
      <c r="C170" s="827"/>
      <c r="D170" s="827"/>
      <c r="E170" s="819"/>
      <c r="F170" s="350">
        <v>366</v>
      </c>
      <c r="G170" s="222">
        <v>29300</v>
      </c>
      <c r="H170" s="262"/>
      <c r="I170" s="145">
        <f t="shared" si="33"/>
        <v>0.35</v>
      </c>
      <c r="J170" s="819"/>
      <c r="K170" s="340">
        <f t="shared" si="38"/>
        <v>237.9</v>
      </c>
      <c r="L170" s="331">
        <f t="shared" si="39"/>
        <v>0</v>
      </c>
      <c r="M170" s="338" t="s">
        <v>637</v>
      </c>
      <c r="N170" s="264">
        <v>0.11700000000000001</v>
      </c>
      <c r="O170" s="444">
        <v>8.5</v>
      </c>
      <c r="P170" s="92"/>
      <c r="Q170" s="46"/>
      <c r="R170" s="92"/>
      <c r="S170" s="46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</row>
    <row r="171" spans="1:48" ht="15" customHeight="1">
      <c r="A171" s="530" t="s">
        <v>1487</v>
      </c>
      <c r="B171" s="135" t="s">
        <v>867</v>
      </c>
      <c r="C171" s="827">
        <v>9</v>
      </c>
      <c r="D171" s="827">
        <v>10</v>
      </c>
      <c r="E171" s="820">
        <f>F171+F172</f>
        <v>1745</v>
      </c>
      <c r="F171" s="350">
        <v>1379</v>
      </c>
      <c r="G171" s="222">
        <v>110400</v>
      </c>
      <c r="H171" s="262"/>
      <c r="I171" s="145">
        <f t="shared" si="33"/>
        <v>0.35</v>
      </c>
      <c r="J171" s="820">
        <f t="shared" ref="J171" si="41">K171+K172</f>
        <v>1134.25</v>
      </c>
      <c r="K171" s="340">
        <f t="shared" si="38"/>
        <v>896.35</v>
      </c>
      <c r="L171" s="331">
        <f t="shared" si="39"/>
        <v>0</v>
      </c>
      <c r="M171" s="265" t="s">
        <v>761</v>
      </c>
      <c r="N171" s="264">
        <v>0.33900000000000002</v>
      </c>
      <c r="O171" s="444">
        <v>26.5</v>
      </c>
      <c r="P171" s="92"/>
      <c r="Q171" s="46"/>
      <c r="R171" s="92"/>
      <c r="S171" s="46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</row>
    <row r="172" spans="1:48" ht="15" customHeight="1">
      <c r="A172" s="531"/>
      <c r="B172" s="135" t="s">
        <v>1547</v>
      </c>
      <c r="C172" s="827"/>
      <c r="D172" s="827"/>
      <c r="E172" s="819"/>
      <c r="F172" s="350">
        <v>366</v>
      </c>
      <c r="G172" s="222">
        <v>29300</v>
      </c>
      <c r="H172" s="262"/>
      <c r="I172" s="145">
        <f t="shared" si="33"/>
        <v>0.35</v>
      </c>
      <c r="J172" s="819"/>
      <c r="K172" s="340">
        <f t="shared" si="38"/>
        <v>237.9</v>
      </c>
      <c r="L172" s="331">
        <f t="shared" si="39"/>
        <v>0</v>
      </c>
      <c r="M172" s="338" t="s">
        <v>637</v>
      </c>
      <c r="N172" s="264">
        <v>0.11700000000000001</v>
      </c>
      <c r="O172" s="444">
        <v>8.5</v>
      </c>
      <c r="P172" s="92"/>
      <c r="Q172" s="46"/>
      <c r="R172" s="92"/>
      <c r="S172" s="46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</row>
    <row r="173" spans="1:48" ht="15" customHeight="1">
      <c r="A173" s="828" t="s">
        <v>868</v>
      </c>
      <c r="B173" s="135" t="s">
        <v>868</v>
      </c>
      <c r="C173" s="827">
        <v>5.6</v>
      </c>
      <c r="D173" s="827">
        <v>6.3</v>
      </c>
      <c r="E173" s="820">
        <f>F173+F174</f>
        <v>1792</v>
      </c>
      <c r="F173" s="350">
        <v>1426</v>
      </c>
      <c r="G173" s="222">
        <v>114100</v>
      </c>
      <c r="H173" s="262"/>
      <c r="I173" s="145">
        <f t="shared" si="33"/>
        <v>0.35</v>
      </c>
      <c r="J173" s="820">
        <f t="shared" ref="J173" si="42">K173+K174</f>
        <v>1164.8000000000002</v>
      </c>
      <c r="K173" s="340">
        <f t="shared" si="38"/>
        <v>926.90000000000009</v>
      </c>
      <c r="L173" s="331">
        <f t="shared" si="39"/>
        <v>0</v>
      </c>
      <c r="M173" s="265" t="s">
        <v>761</v>
      </c>
      <c r="N173" s="264">
        <v>0.33900000000000002</v>
      </c>
      <c r="O173" s="444">
        <v>26.5</v>
      </c>
      <c r="P173" s="92"/>
      <c r="Q173" s="46"/>
      <c r="R173" s="92"/>
      <c r="S173" s="46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</row>
    <row r="174" spans="1:48" ht="15" customHeight="1">
      <c r="A174" s="531"/>
      <c r="B174" s="135" t="s">
        <v>1547</v>
      </c>
      <c r="C174" s="827"/>
      <c r="D174" s="827"/>
      <c r="E174" s="819"/>
      <c r="F174" s="350">
        <v>366</v>
      </c>
      <c r="G174" s="222">
        <v>29300</v>
      </c>
      <c r="H174" s="262"/>
      <c r="I174" s="145">
        <f t="shared" si="33"/>
        <v>0.35</v>
      </c>
      <c r="J174" s="819"/>
      <c r="K174" s="340">
        <f t="shared" si="38"/>
        <v>237.9</v>
      </c>
      <c r="L174" s="331">
        <f t="shared" si="39"/>
        <v>0</v>
      </c>
      <c r="M174" s="338" t="s">
        <v>637</v>
      </c>
      <c r="N174" s="264">
        <v>0.11700000000000001</v>
      </c>
      <c r="O174" s="444">
        <v>8.5</v>
      </c>
      <c r="P174" s="92"/>
      <c r="Q174" s="46"/>
      <c r="R174" s="92"/>
      <c r="S174" s="46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</row>
    <row r="175" spans="1:48" ht="15" customHeight="1">
      <c r="A175" s="828" t="s">
        <v>1491</v>
      </c>
      <c r="B175" s="135" t="s">
        <v>1491</v>
      </c>
      <c r="C175" s="827">
        <v>7.1</v>
      </c>
      <c r="D175" s="827">
        <v>8</v>
      </c>
      <c r="E175" s="820">
        <f>F175+F176</f>
        <v>1809</v>
      </c>
      <c r="F175" s="350">
        <v>1443</v>
      </c>
      <c r="G175" s="222">
        <v>115500</v>
      </c>
      <c r="H175" s="262"/>
      <c r="I175" s="145">
        <f t="shared" si="33"/>
        <v>0.35</v>
      </c>
      <c r="J175" s="820">
        <f t="shared" ref="J175" si="43">K175+K176</f>
        <v>1175.8500000000001</v>
      </c>
      <c r="K175" s="340">
        <f t="shared" si="38"/>
        <v>937.95</v>
      </c>
      <c r="L175" s="331">
        <f t="shared" si="39"/>
        <v>0</v>
      </c>
      <c r="M175" s="265" t="s">
        <v>761</v>
      </c>
      <c r="N175" s="264">
        <v>0.33900000000000002</v>
      </c>
      <c r="O175" s="444">
        <v>26.5</v>
      </c>
      <c r="P175" s="92"/>
      <c r="Q175" s="46"/>
      <c r="R175" s="92"/>
      <c r="S175" s="46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</row>
    <row r="176" spans="1:48" ht="15" customHeight="1">
      <c r="A176" s="531"/>
      <c r="B176" s="135" t="s">
        <v>1547</v>
      </c>
      <c r="C176" s="827"/>
      <c r="D176" s="827"/>
      <c r="E176" s="819"/>
      <c r="F176" s="350">
        <v>366</v>
      </c>
      <c r="G176" s="222">
        <v>29300</v>
      </c>
      <c r="H176" s="262"/>
      <c r="I176" s="145">
        <f t="shared" si="33"/>
        <v>0.35</v>
      </c>
      <c r="J176" s="819"/>
      <c r="K176" s="340">
        <f t="shared" si="38"/>
        <v>237.9</v>
      </c>
      <c r="L176" s="331">
        <f t="shared" si="39"/>
        <v>0</v>
      </c>
      <c r="M176" s="338" t="s">
        <v>637</v>
      </c>
      <c r="N176" s="264">
        <v>0.11700000000000001</v>
      </c>
      <c r="O176" s="444">
        <v>8.5</v>
      </c>
      <c r="P176" s="92"/>
      <c r="Q176" s="46"/>
      <c r="R176" s="92"/>
      <c r="S176" s="46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</row>
    <row r="177" spans="1:48" ht="15" customHeight="1">
      <c r="A177" s="828" t="s">
        <v>873</v>
      </c>
      <c r="B177" s="135" t="s">
        <v>873</v>
      </c>
      <c r="C177" s="827">
        <v>9</v>
      </c>
      <c r="D177" s="827">
        <v>10</v>
      </c>
      <c r="E177" s="820">
        <f>F177+F178</f>
        <v>1897</v>
      </c>
      <c r="F177" s="350">
        <v>1531</v>
      </c>
      <c r="G177" s="222">
        <v>122500</v>
      </c>
      <c r="H177" s="262"/>
      <c r="I177" s="145">
        <f t="shared" si="33"/>
        <v>0.35</v>
      </c>
      <c r="J177" s="820">
        <f t="shared" ref="J177" si="44">K177+K178</f>
        <v>1233.05</v>
      </c>
      <c r="K177" s="340">
        <f t="shared" si="38"/>
        <v>995.15</v>
      </c>
      <c r="L177" s="331">
        <f t="shared" si="39"/>
        <v>0</v>
      </c>
      <c r="M177" s="265" t="s">
        <v>761</v>
      </c>
      <c r="N177" s="264">
        <v>0.33900000000000002</v>
      </c>
      <c r="O177" s="444">
        <v>26.5</v>
      </c>
      <c r="P177" s="92"/>
      <c r="Q177" s="46"/>
      <c r="R177" s="92"/>
      <c r="S177" s="46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</row>
    <row r="178" spans="1:48" ht="15" customHeight="1">
      <c r="A178" s="531"/>
      <c r="B178" s="135" t="s">
        <v>1547</v>
      </c>
      <c r="C178" s="827"/>
      <c r="D178" s="827"/>
      <c r="E178" s="819"/>
      <c r="F178" s="350">
        <v>366</v>
      </c>
      <c r="G178" s="222">
        <v>29300</v>
      </c>
      <c r="H178" s="262"/>
      <c r="I178" s="145">
        <f t="shared" si="33"/>
        <v>0.35</v>
      </c>
      <c r="J178" s="819"/>
      <c r="K178" s="340">
        <f t="shared" si="38"/>
        <v>237.9</v>
      </c>
      <c r="L178" s="331">
        <f t="shared" si="39"/>
        <v>0</v>
      </c>
      <c r="M178" s="338" t="s">
        <v>637</v>
      </c>
      <c r="N178" s="264">
        <v>0.11700000000000001</v>
      </c>
      <c r="O178" s="444">
        <v>8.5</v>
      </c>
      <c r="P178" s="92"/>
      <c r="Q178" s="46"/>
      <c r="R178" s="92"/>
      <c r="S178" s="46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</row>
    <row r="179" spans="1:48" ht="15" customHeight="1">
      <c r="A179" s="828" t="s">
        <v>872</v>
      </c>
      <c r="B179" s="135" t="s">
        <v>872</v>
      </c>
      <c r="C179" s="827">
        <v>10</v>
      </c>
      <c r="D179" s="827">
        <v>11.2</v>
      </c>
      <c r="E179" s="820">
        <f>F179+F180</f>
        <v>1932</v>
      </c>
      <c r="F179" s="350">
        <v>1566</v>
      </c>
      <c r="G179" s="222">
        <v>125300</v>
      </c>
      <c r="H179" s="262"/>
      <c r="I179" s="145">
        <f t="shared" si="33"/>
        <v>0.35</v>
      </c>
      <c r="J179" s="820">
        <f t="shared" ref="J179" si="45">K179+K180</f>
        <v>1255.8000000000002</v>
      </c>
      <c r="K179" s="340">
        <f t="shared" si="38"/>
        <v>1017.9000000000001</v>
      </c>
      <c r="L179" s="331">
        <f t="shared" si="39"/>
        <v>0</v>
      </c>
      <c r="M179" s="265" t="s">
        <v>761</v>
      </c>
      <c r="N179" s="264">
        <v>0.33900000000000002</v>
      </c>
      <c r="O179" s="444">
        <v>26.5</v>
      </c>
      <c r="P179" s="92"/>
      <c r="Q179" s="46"/>
      <c r="R179" s="92"/>
      <c r="S179" s="46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</row>
    <row r="180" spans="1:48" ht="15" customHeight="1">
      <c r="A180" s="531"/>
      <c r="B180" s="135" t="s">
        <v>1547</v>
      </c>
      <c r="C180" s="827"/>
      <c r="D180" s="827"/>
      <c r="E180" s="819"/>
      <c r="F180" s="350">
        <v>366</v>
      </c>
      <c r="G180" s="222">
        <v>29300</v>
      </c>
      <c r="H180" s="262"/>
      <c r="I180" s="145">
        <f t="shared" si="33"/>
        <v>0.35</v>
      </c>
      <c r="J180" s="819"/>
      <c r="K180" s="340">
        <f t="shared" si="38"/>
        <v>237.9</v>
      </c>
      <c r="L180" s="331">
        <f t="shared" si="39"/>
        <v>0</v>
      </c>
      <c r="M180" s="338" t="s">
        <v>637</v>
      </c>
      <c r="N180" s="264">
        <v>0.11700000000000001</v>
      </c>
      <c r="O180" s="444">
        <v>8.5</v>
      </c>
      <c r="P180" s="92"/>
      <c r="Q180" s="46"/>
      <c r="R180" s="92"/>
      <c r="S180" s="46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</row>
    <row r="181" spans="1:48" ht="15" customHeight="1">
      <c r="A181" s="828" t="s">
        <v>1490</v>
      </c>
      <c r="B181" s="135" t="s">
        <v>871</v>
      </c>
      <c r="C181" s="827">
        <v>11.2</v>
      </c>
      <c r="D181" s="827">
        <v>12.5</v>
      </c>
      <c r="E181" s="820">
        <f>F181+F182</f>
        <v>1970</v>
      </c>
      <c r="F181" s="350">
        <v>1604</v>
      </c>
      <c r="G181" s="222">
        <v>128400</v>
      </c>
      <c r="H181" s="262"/>
      <c r="I181" s="145">
        <f t="shared" si="33"/>
        <v>0.35</v>
      </c>
      <c r="J181" s="820">
        <f t="shared" ref="J181" si="46">K181+K182</f>
        <v>1280.5</v>
      </c>
      <c r="K181" s="340">
        <f t="shared" si="38"/>
        <v>1042.5999999999999</v>
      </c>
      <c r="L181" s="331">
        <f t="shared" si="39"/>
        <v>0</v>
      </c>
      <c r="M181" s="265" t="s">
        <v>761</v>
      </c>
      <c r="N181" s="264">
        <v>0.33900000000000002</v>
      </c>
      <c r="O181" s="444">
        <v>26.5</v>
      </c>
      <c r="P181" s="92"/>
      <c r="Q181" s="46"/>
      <c r="R181" s="92"/>
      <c r="S181" s="46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</row>
    <row r="182" spans="1:48" ht="15" customHeight="1">
      <c r="A182" s="531"/>
      <c r="B182" s="135" t="s">
        <v>1547</v>
      </c>
      <c r="C182" s="827"/>
      <c r="D182" s="827"/>
      <c r="E182" s="819"/>
      <c r="F182" s="350">
        <v>366</v>
      </c>
      <c r="G182" s="222">
        <v>29300</v>
      </c>
      <c r="H182" s="262"/>
      <c r="I182" s="145">
        <f t="shared" si="33"/>
        <v>0.35</v>
      </c>
      <c r="J182" s="819"/>
      <c r="K182" s="340">
        <f t="shared" si="38"/>
        <v>237.9</v>
      </c>
      <c r="L182" s="331">
        <f t="shared" si="39"/>
        <v>0</v>
      </c>
      <c r="M182" s="338" t="s">
        <v>637</v>
      </c>
      <c r="N182" s="264">
        <v>0.11700000000000001</v>
      </c>
      <c r="O182" s="444">
        <v>8.5</v>
      </c>
      <c r="P182" s="92"/>
      <c r="Q182" s="46"/>
      <c r="R182" s="92"/>
      <c r="S182" s="46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</row>
    <row r="183" spans="1:48" ht="15" customHeight="1">
      <c r="A183" s="828" t="s">
        <v>870</v>
      </c>
      <c r="B183" s="135" t="s">
        <v>870</v>
      </c>
      <c r="C183" s="827">
        <v>12.5</v>
      </c>
      <c r="D183" s="827">
        <v>14</v>
      </c>
      <c r="E183" s="820">
        <f>F183+F184</f>
        <v>2199</v>
      </c>
      <c r="F183" s="350">
        <v>1833</v>
      </c>
      <c r="G183" s="222">
        <v>146700</v>
      </c>
      <c r="H183" s="262"/>
      <c r="I183" s="145">
        <f t="shared" si="33"/>
        <v>0.35</v>
      </c>
      <c r="J183" s="820">
        <f t="shared" ref="J183" si="47">K183+K184</f>
        <v>1429.3500000000001</v>
      </c>
      <c r="K183" s="340">
        <f t="shared" si="38"/>
        <v>1191.45</v>
      </c>
      <c r="L183" s="331">
        <f t="shared" si="39"/>
        <v>0</v>
      </c>
      <c r="M183" s="265" t="s">
        <v>761</v>
      </c>
      <c r="N183" s="264">
        <v>0.33900000000000002</v>
      </c>
      <c r="O183" s="444">
        <v>26.5</v>
      </c>
      <c r="P183" s="92"/>
      <c r="Q183" s="46"/>
      <c r="R183" s="92"/>
      <c r="S183" s="46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</row>
    <row r="184" spans="1:48" ht="15" customHeight="1">
      <c r="A184" s="531"/>
      <c r="B184" s="135" t="s">
        <v>1547</v>
      </c>
      <c r="C184" s="827"/>
      <c r="D184" s="827"/>
      <c r="E184" s="819"/>
      <c r="F184" s="350">
        <v>366</v>
      </c>
      <c r="G184" s="222">
        <v>29300</v>
      </c>
      <c r="H184" s="262"/>
      <c r="I184" s="145">
        <f t="shared" si="33"/>
        <v>0.35</v>
      </c>
      <c r="J184" s="819"/>
      <c r="K184" s="340">
        <f t="shared" si="38"/>
        <v>237.9</v>
      </c>
      <c r="L184" s="331">
        <f t="shared" si="39"/>
        <v>0</v>
      </c>
      <c r="M184" s="338" t="s">
        <v>637</v>
      </c>
      <c r="N184" s="264">
        <v>0.11700000000000001</v>
      </c>
      <c r="O184" s="444">
        <v>8.5</v>
      </c>
      <c r="P184" s="92"/>
      <c r="Q184" s="46"/>
      <c r="R184" s="92"/>
      <c r="S184" s="46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</row>
    <row r="185" spans="1:48" ht="15" customHeight="1">
      <c r="A185" s="828" t="s">
        <v>869</v>
      </c>
      <c r="B185" s="135" t="s">
        <v>869</v>
      </c>
      <c r="C185" s="827">
        <v>14</v>
      </c>
      <c r="D185" s="827">
        <v>16</v>
      </c>
      <c r="E185" s="820">
        <f>F185+F186</f>
        <v>2483</v>
      </c>
      <c r="F185" s="350">
        <v>2117</v>
      </c>
      <c r="G185" s="222">
        <v>169400</v>
      </c>
      <c r="H185" s="262"/>
      <c r="I185" s="145">
        <f t="shared" si="33"/>
        <v>0.35</v>
      </c>
      <c r="J185" s="820">
        <f t="shared" ref="J185" si="48">K185+K186</f>
        <v>1613.9500000000003</v>
      </c>
      <c r="K185" s="340">
        <f t="shared" si="38"/>
        <v>1376.0500000000002</v>
      </c>
      <c r="L185" s="331">
        <f t="shared" si="39"/>
        <v>0</v>
      </c>
      <c r="M185" s="265" t="s">
        <v>761</v>
      </c>
      <c r="N185" s="264">
        <v>0.33900000000000002</v>
      </c>
      <c r="O185" s="444">
        <v>26.5</v>
      </c>
      <c r="P185" s="92"/>
      <c r="Q185" s="46"/>
      <c r="R185" s="92"/>
      <c r="S185" s="46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</row>
    <row r="186" spans="1:48" ht="15" customHeight="1">
      <c r="A186" s="531"/>
      <c r="B186" s="135" t="s">
        <v>1547</v>
      </c>
      <c r="C186" s="827"/>
      <c r="D186" s="827"/>
      <c r="E186" s="819"/>
      <c r="F186" s="350">
        <v>366</v>
      </c>
      <c r="G186" s="222">
        <v>29300</v>
      </c>
      <c r="H186" s="262"/>
      <c r="I186" s="145">
        <f t="shared" si="33"/>
        <v>0.35</v>
      </c>
      <c r="J186" s="819"/>
      <c r="K186" s="340">
        <f t="shared" si="38"/>
        <v>237.9</v>
      </c>
      <c r="L186" s="331">
        <f t="shared" si="39"/>
        <v>0</v>
      </c>
      <c r="M186" s="338" t="s">
        <v>637</v>
      </c>
      <c r="N186" s="264">
        <v>0.11700000000000001</v>
      </c>
      <c r="O186" s="444">
        <v>8.5</v>
      </c>
      <c r="P186" s="92"/>
      <c r="Q186" s="46"/>
      <c r="R186" s="92"/>
      <c r="S186" s="46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</row>
    <row r="187" spans="1:48" ht="30" customHeight="1">
      <c r="A187" s="443" t="s">
        <v>168</v>
      </c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50"/>
      <c r="M187" s="251"/>
      <c r="N187" s="251"/>
      <c r="O187" s="442"/>
      <c r="Q187" s="46"/>
      <c r="S187" s="46"/>
    </row>
    <row r="188" spans="1:48" ht="30" customHeight="1">
      <c r="A188" s="537" t="s">
        <v>176</v>
      </c>
      <c r="B188" s="538"/>
      <c r="C188" s="538"/>
      <c r="D188" s="538"/>
      <c r="E188" s="538"/>
      <c r="F188" s="538"/>
      <c r="G188" s="538"/>
      <c r="H188" s="538"/>
      <c r="I188" s="538"/>
      <c r="J188" s="538"/>
      <c r="K188" s="538"/>
      <c r="L188" s="538"/>
      <c r="M188" s="538"/>
      <c r="N188" s="538"/>
      <c r="O188" s="539"/>
      <c r="Q188" s="46"/>
      <c r="S188" s="46"/>
    </row>
    <row r="189" spans="1:48" ht="15" customHeight="1">
      <c r="A189" s="530" t="s">
        <v>1551</v>
      </c>
      <c r="B189" s="135" t="s">
        <v>1551</v>
      </c>
      <c r="C189" s="827">
        <v>1.1000000000000001</v>
      </c>
      <c r="D189" s="827">
        <v>1.3</v>
      </c>
      <c r="E189" s="820">
        <f>F189+F190</f>
        <v>1275</v>
      </c>
      <c r="F189" s="350">
        <v>1193</v>
      </c>
      <c r="G189" s="222">
        <v>95500</v>
      </c>
      <c r="H189" s="262"/>
      <c r="I189" s="145">
        <f t="shared" ref="I189:I216" si="49">$D$3</f>
        <v>0.35</v>
      </c>
      <c r="J189" s="819">
        <f>SUM(E189-(E189*I189))</f>
        <v>828.75</v>
      </c>
      <c r="K189" s="340">
        <f t="shared" ref="K189:K202" si="50">SUM(F189-(F189*I189))</f>
        <v>775.45</v>
      </c>
      <c r="L189" s="331">
        <f t="shared" ref="L189:L202" si="51">H189*K189</f>
        <v>0</v>
      </c>
      <c r="M189" s="265" t="s">
        <v>354</v>
      </c>
      <c r="N189" s="336">
        <v>0.16500000000000001</v>
      </c>
      <c r="O189" s="367">
        <v>18</v>
      </c>
      <c r="P189" s="92"/>
      <c r="Q189" s="46"/>
      <c r="R189" s="92"/>
      <c r="S189" s="46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</row>
    <row r="190" spans="1:48" ht="15" customHeight="1">
      <c r="A190" s="531"/>
      <c r="B190" s="135" t="s">
        <v>1549</v>
      </c>
      <c r="C190" s="827"/>
      <c r="D190" s="827"/>
      <c r="E190" s="819"/>
      <c r="F190" s="350">
        <v>82</v>
      </c>
      <c r="G190" s="222">
        <v>6600</v>
      </c>
      <c r="H190" s="262"/>
      <c r="I190" s="145">
        <f t="shared" si="49"/>
        <v>0.35</v>
      </c>
      <c r="J190" s="819"/>
      <c r="K190" s="340">
        <f t="shared" si="50"/>
        <v>53.3</v>
      </c>
      <c r="L190" s="331">
        <f t="shared" si="51"/>
        <v>0</v>
      </c>
      <c r="M190" s="338" t="s">
        <v>355</v>
      </c>
      <c r="N190" s="336">
        <v>6.9000000000000006E-2</v>
      </c>
      <c r="O190" s="367">
        <v>4.5</v>
      </c>
      <c r="P190" s="92"/>
      <c r="Q190" s="46"/>
      <c r="R190" s="92"/>
      <c r="S190" s="46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</row>
    <row r="191" spans="1:48" ht="15" customHeight="1">
      <c r="A191" s="530" t="s">
        <v>207</v>
      </c>
      <c r="B191" s="135" t="s">
        <v>213</v>
      </c>
      <c r="C191" s="555">
        <v>2.2000000000000002</v>
      </c>
      <c r="D191" s="555">
        <v>2.8</v>
      </c>
      <c r="E191" s="820">
        <f>F191+F192</f>
        <v>1339</v>
      </c>
      <c r="F191" s="350">
        <v>1257</v>
      </c>
      <c r="G191" s="222">
        <v>100600</v>
      </c>
      <c r="H191" s="262"/>
      <c r="I191" s="145">
        <f t="shared" si="49"/>
        <v>0.35</v>
      </c>
      <c r="J191" s="819">
        <f>SUM(E191-(E191*I191))</f>
        <v>870.35</v>
      </c>
      <c r="K191" s="340">
        <f t="shared" si="50"/>
        <v>817.05</v>
      </c>
      <c r="L191" s="331">
        <f t="shared" si="51"/>
        <v>0</v>
      </c>
      <c r="M191" s="265" t="s">
        <v>354</v>
      </c>
      <c r="N191" s="336">
        <v>0.16500000000000001</v>
      </c>
      <c r="O191" s="367">
        <v>18</v>
      </c>
      <c r="P191" s="92"/>
      <c r="Q191" s="46"/>
      <c r="R191" s="92"/>
      <c r="S191" s="46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</row>
    <row r="192" spans="1:48" ht="15" customHeight="1">
      <c r="A192" s="531"/>
      <c r="B192" s="135" t="s">
        <v>1549</v>
      </c>
      <c r="C192" s="662"/>
      <c r="D192" s="662"/>
      <c r="E192" s="819"/>
      <c r="F192" s="350">
        <v>82</v>
      </c>
      <c r="G192" s="222">
        <v>6600</v>
      </c>
      <c r="H192" s="262"/>
      <c r="I192" s="145">
        <f t="shared" si="49"/>
        <v>0.35</v>
      </c>
      <c r="J192" s="819"/>
      <c r="K192" s="340">
        <f t="shared" si="50"/>
        <v>53.3</v>
      </c>
      <c r="L192" s="331">
        <f t="shared" si="51"/>
        <v>0</v>
      </c>
      <c r="M192" s="338" t="s">
        <v>355</v>
      </c>
      <c r="N192" s="336">
        <v>6.9000000000000006E-2</v>
      </c>
      <c r="O192" s="367">
        <v>4.5</v>
      </c>
      <c r="P192" s="92"/>
      <c r="Q192" s="46"/>
      <c r="R192" s="92"/>
      <c r="S192" s="46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</row>
    <row r="193" spans="1:48" ht="15" customHeight="1">
      <c r="A193" s="530" t="s">
        <v>208</v>
      </c>
      <c r="B193" s="135" t="s">
        <v>208</v>
      </c>
      <c r="C193" s="555">
        <v>2.8</v>
      </c>
      <c r="D193" s="555">
        <v>3.2</v>
      </c>
      <c r="E193" s="820">
        <f>F193+F194</f>
        <v>1450</v>
      </c>
      <c r="F193" s="350">
        <v>1368</v>
      </c>
      <c r="G193" s="222">
        <v>109500</v>
      </c>
      <c r="H193" s="262"/>
      <c r="I193" s="145">
        <f t="shared" si="49"/>
        <v>0.35</v>
      </c>
      <c r="J193" s="819">
        <f>SUM(E193-(E193*I193))</f>
        <v>942.5</v>
      </c>
      <c r="K193" s="340">
        <f t="shared" si="50"/>
        <v>889.2</v>
      </c>
      <c r="L193" s="331">
        <f t="shared" si="51"/>
        <v>0</v>
      </c>
      <c r="M193" s="265" t="s">
        <v>354</v>
      </c>
      <c r="N193" s="336">
        <v>0.16500000000000001</v>
      </c>
      <c r="O193" s="367">
        <v>18</v>
      </c>
      <c r="P193" s="92"/>
      <c r="Q193" s="46"/>
      <c r="R193" s="92"/>
      <c r="S193" s="46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</row>
    <row r="194" spans="1:48" ht="15" customHeight="1">
      <c r="A194" s="531"/>
      <c r="B194" s="135" t="s">
        <v>1549</v>
      </c>
      <c r="C194" s="662"/>
      <c r="D194" s="662"/>
      <c r="E194" s="819"/>
      <c r="F194" s="350">
        <v>82</v>
      </c>
      <c r="G194" s="222">
        <v>6600</v>
      </c>
      <c r="H194" s="262"/>
      <c r="I194" s="145">
        <f t="shared" si="49"/>
        <v>0.35</v>
      </c>
      <c r="J194" s="819"/>
      <c r="K194" s="340">
        <f t="shared" si="50"/>
        <v>53.3</v>
      </c>
      <c r="L194" s="331">
        <f t="shared" si="51"/>
        <v>0</v>
      </c>
      <c r="M194" s="338" t="s">
        <v>355</v>
      </c>
      <c r="N194" s="336">
        <v>6.9000000000000006E-2</v>
      </c>
      <c r="O194" s="367">
        <v>4.5</v>
      </c>
      <c r="P194" s="92"/>
      <c r="Q194" s="46"/>
      <c r="R194" s="92"/>
      <c r="S194" s="46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</row>
    <row r="195" spans="1:48" ht="15" customHeight="1">
      <c r="A195" s="530" t="s">
        <v>209</v>
      </c>
      <c r="B195" s="135" t="s">
        <v>214</v>
      </c>
      <c r="C195" s="555">
        <v>3.6</v>
      </c>
      <c r="D195" s="555">
        <v>4.0999999999999996</v>
      </c>
      <c r="E195" s="820">
        <f>F195+F196</f>
        <v>1499</v>
      </c>
      <c r="F195" s="350">
        <v>1417</v>
      </c>
      <c r="G195" s="222">
        <v>113400</v>
      </c>
      <c r="H195" s="262"/>
      <c r="I195" s="145">
        <f t="shared" si="49"/>
        <v>0.35</v>
      </c>
      <c r="J195" s="819">
        <f>SUM(E195-(E195*I195))</f>
        <v>974.35</v>
      </c>
      <c r="K195" s="340">
        <f t="shared" si="50"/>
        <v>921.05</v>
      </c>
      <c r="L195" s="331">
        <f t="shared" si="51"/>
        <v>0</v>
      </c>
      <c r="M195" s="265" t="s">
        <v>354</v>
      </c>
      <c r="N195" s="336">
        <v>0.16500000000000001</v>
      </c>
      <c r="O195" s="367">
        <v>18</v>
      </c>
      <c r="P195" s="92"/>
      <c r="Q195" s="46"/>
      <c r="R195" s="92"/>
      <c r="S195" s="46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</row>
    <row r="196" spans="1:48" ht="15" customHeight="1">
      <c r="A196" s="531"/>
      <c r="B196" s="135" t="s">
        <v>1549</v>
      </c>
      <c r="C196" s="662"/>
      <c r="D196" s="662"/>
      <c r="E196" s="819"/>
      <c r="F196" s="350">
        <v>82</v>
      </c>
      <c r="G196" s="222">
        <v>6600</v>
      </c>
      <c r="H196" s="262"/>
      <c r="I196" s="145">
        <f t="shared" si="49"/>
        <v>0.35</v>
      </c>
      <c r="J196" s="819"/>
      <c r="K196" s="340">
        <f t="shared" si="50"/>
        <v>53.3</v>
      </c>
      <c r="L196" s="331">
        <f t="shared" si="51"/>
        <v>0</v>
      </c>
      <c r="M196" s="338" t="s">
        <v>355</v>
      </c>
      <c r="N196" s="336">
        <v>6.9000000000000006E-2</v>
      </c>
      <c r="O196" s="367">
        <v>4.5</v>
      </c>
      <c r="P196" s="92"/>
      <c r="Q196" s="46"/>
      <c r="R196" s="92"/>
      <c r="S196" s="46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</row>
    <row r="197" spans="1:48" ht="15" customHeight="1">
      <c r="A197" s="530" t="s">
        <v>210</v>
      </c>
      <c r="B197" s="135" t="s">
        <v>215</v>
      </c>
      <c r="C197" s="555">
        <v>4.5</v>
      </c>
      <c r="D197" s="852">
        <v>5</v>
      </c>
      <c r="E197" s="820">
        <f>F197+F198</f>
        <v>1550</v>
      </c>
      <c r="F197" s="350">
        <v>1468</v>
      </c>
      <c r="G197" s="222">
        <v>117500</v>
      </c>
      <c r="H197" s="262"/>
      <c r="I197" s="145">
        <f t="shared" si="49"/>
        <v>0.35</v>
      </c>
      <c r="J197" s="819">
        <f>SUM(E197-(E197*I197))</f>
        <v>1007.5</v>
      </c>
      <c r="K197" s="340">
        <f t="shared" si="50"/>
        <v>954.2</v>
      </c>
      <c r="L197" s="331">
        <f t="shared" si="51"/>
        <v>0</v>
      </c>
      <c r="M197" s="265" t="s">
        <v>354</v>
      </c>
      <c r="N197" s="336">
        <v>0.16500000000000001</v>
      </c>
      <c r="O197" s="367">
        <v>18</v>
      </c>
      <c r="P197" s="92"/>
      <c r="Q197" s="46"/>
      <c r="R197" s="92"/>
      <c r="S197" s="46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</row>
    <row r="198" spans="1:48" ht="15" customHeight="1">
      <c r="A198" s="531"/>
      <c r="B198" s="135" t="s">
        <v>1549</v>
      </c>
      <c r="C198" s="662"/>
      <c r="D198" s="853"/>
      <c r="E198" s="819"/>
      <c r="F198" s="350">
        <v>82</v>
      </c>
      <c r="G198" s="222">
        <v>6600</v>
      </c>
      <c r="H198" s="262"/>
      <c r="I198" s="145">
        <f t="shared" si="49"/>
        <v>0.35</v>
      </c>
      <c r="J198" s="819"/>
      <c r="K198" s="340">
        <f t="shared" si="50"/>
        <v>53.3</v>
      </c>
      <c r="L198" s="331">
        <f t="shared" si="51"/>
        <v>0</v>
      </c>
      <c r="M198" s="338" t="s">
        <v>355</v>
      </c>
      <c r="N198" s="336">
        <v>6.9000000000000006E-2</v>
      </c>
      <c r="O198" s="367">
        <v>4.5</v>
      </c>
      <c r="P198" s="92"/>
      <c r="Q198" s="46"/>
      <c r="R198" s="92"/>
      <c r="S198" s="46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</row>
    <row r="199" spans="1:48" ht="15" customHeight="1">
      <c r="A199" s="530" t="s">
        <v>211</v>
      </c>
      <c r="B199" s="135" t="s">
        <v>211</v>
      </c>
      <c r="C199" s="555">
        <v>5.6</v>
      </c>
      <c r="D199" s="555">
        <v>6.3</v>
      </c>
      <c r="E199" s="820">
        <f>F199+F200</f>
        <v>1597</v>
      </c>
      <c r="F199" s="350">
        <v>1515</v>
      </c>
      <c r="G199" s="222">
        <v>121200</v>
      </c>
      <c r="H199" s="262"/>
      <c r="I199" s="145">
        <f t="shared" si="49"/>
        <v>0.35</v>
      </c>
      <c r="J199" s="819">
        <f>SUM(E199-(E199*I199))</f>
        <v>1038.0500000000002</v>
      </c>
      <c r="K199" s="340">
        <f t="shared" si="50"/>
        <v>984.75</v>
      </c>
      <c r="L199" s="331">
        <f t="shared" si="51"/>
        <v>0</v>
      </c>
      <c r="M199" s="265" t="s">
        <v>354</v>
      </c>
      <c r="N199" s="336">
        <v>0.16500000000000001</v>
      </c>
      <c r="O199" s="367">
        <v>20</v>
      </c>
      <c r="P199" s="92"/>
      <c r="Q199" s="46"/>
      <c r="R199" s="92"/>
      <c r="S199" s="46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</row>
    <row r="200" spans="1:48" s="3" customFormat="1" ht="15" customHeight="1">
      <c r="A200" s="531"/>
      <c r="B200" s="135" t="s">
        <v>1549</v>
      </c>
      <c r="C200" s="662"/>
      <c r="D200" s="662"/>
      <c r="E200" s="819"/>
      <c r="F200" s="350">
        <v>82</v>
      </c>
      <c r="G200" s="222">
        <v>6600</v>
      </c>
      <c r="H200" s="262"/>
      <c r="I200" s="145">
        <f t="shared" si="49"/>
        <v>0.35</v>
      </c>
      <c r="J200" s="819"/>
      <c r="K200" s="340">
        <f t="shared" si="50"/>
        <v>53.3</v>
      </c>
      <c r="L200" s="331">
        <f t="shared" si="51"/>
        <v>0</v>
      </c>
      <c r="M200" s="338" t="s">
        <v>355</v>
      </c>
      <c r="N200" s="336">
        <v>6.9000000000000006E-2</v>
      </c>
      <c r="O200" s="367">
        <v>4.5</v>
      </c>
      <c r="P200" s="47"/>
      <c r="Q200" s="46"/>
      <c r="R200" s="92"/>
      <c r="S200" s="46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</row>
    <row r="201" spans="1:48" ht="15" customHeight="1">
      <c r="A201" s="530" t="s">
        <v>212</v>
      </c>
      <c r="B201" s="135" t="s">
        <v>216</v>
      </c>
      <c r="C201" s="555">
        <v>7.1</v>
      </c>
      <c r="D201" s="852">
        <v>8</v>
      </c>
      <c r="E201" s="820">
        <f>F201+F202</f>
        <v>1630</v>
      </c>
      <c r="F201" s="350">
        <v>1548</v>
      </c>
      <c r="G201" s="222">
        <v>123900</v>
      </c>
      <c r="H201" s="262"/>
      <c r="I201" s="145">
        <f t="shared" si="49"/>
        <v>0.35</v>
      </c>
      <c r="J201" s="819">
        <f>SUM(E201-(E201*I201))</f>
        <v>1059.5</v>
      </c>
      <c r="K201" s="340">
        <f t="shared" si="50"/>
        <v>1006.2</v>
      </c>
      <c r="L201" s="331">
        <f t="shared" si="51"/>
        <v>0</v>
      </c>
      <c r="M201" s="265" t="s">
        <v>354</v>
      </c>
      <c r="N201" s="336">
        <v>0.16500000000000001</v>
      </c>
      <c r="O201" s="367">
        <v>20</v>
      </c>
      <c r="P201" s="92"/>
      <c r="Q201" s="46"/>
      <c r="R201" s="92"/>
      <c r="S201" s="46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</row>
    <row r="202" spans="1:48" s="2" customFormat="1" ht="15" customHeight="1">
      <c r="A202" s="531"/>
      <c r="B202" s="135" t="s">
        <v>1549</v>
      </c>
      <c r="C202" s="662"/>
      <c r="D202" s="853"/>
      <c r="E202" s="819"/>
      <c r="F202" s="350">
        <v>82</v>
      </c>
      <c r="G202" s="222">
        <v>6600</v>
      </c>
      <c r="H202" s="262"/>
      <c r="I202" s="145">
        <f t="shared" si="49"/>
        <v>0.35</v>
      </c>
      <c r="J202" s="819"/>
      <c r="K202" s="340">
        <f t="shared" si="50"/>
        <v>53.3</v>
      </c>
      <c r="L202" s="331">
        <f t="shared" si="51"/>
        <v>0</v>
      </c>
      <c r="M202" s="338" t="s">
        <v>355</v>
      </c>
      <c r="N202" s="336">
        <v>6.9000000000000006E-2</v>
      </c>
      <c r="O202" s="367">
        <v>4.5</v>
      </c>
      <c r="P202" s="44"/>
      <c r="Q202" s="46"/>
      <c r="R202" s="92"/>
      <c r="S202" s="46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</row>
    <row r="203" spans="1:48" ht="15" customHeight="1">
      <c r="A203" s="530" t="s">
        <v>893</v>
      </c>
      <c r="B203" s="135" t="s">
        <v>893</v>
      </c>
      <c r="C203" s="827">
        <v>1.1000000000000001</v>
      </c>
      <c r="D203" s="827">
        <v>1.3</v>
      </c>
      <c r="E203" s="820">
        <f>F203+F204</f>
        <v>1275</v>
      </c>
      <c r="F203" s="350">
        <v>1193</v>
      </c>
      <c r="G203" s="222">
        <v>95500</v>
      </c>
      <c r="H203" s="262"/>
      <c r="I203" s="145">
        <f t="shared" si="49"/>
        <v>0.35</v>
      </c>
      <c r="J203" s="819">
        <f>SUM(E203-(E203*I203))</f>
        <v>828.75</v>
      </c>
      <c r="K203" s="340">
        <f t="shared" ref="K203:K216" si="52">SUM(F203-(F203*I203))</f>
        <v>775.45</v>
      </c>
      <c r="L203" s="331">
        <f t="shared" ref="L203:L208" si="53">H203*K203</f>
        <v>0</v>
      </c>
      <c r="M203" s="265" t="s">
        <v>354</v>
      </c>
      <c r="N203" s="336">
        <v>0.16500000000000001</v>
      </c>
      <c r="O203" s="367">
        <v>18</v>
      </c>
      <c r="Q203" s="46"/>
      <c r="R203" s="92"/>
      <c r="S203" s="46"/>
    </row>
    <row r="204" spans="1:48" ht="15" customHeight="1">
      <c r="A204" s="531"/>
      <c r="B204" s="135" t="s">
        <v>1550</v>
      </c>
      <c r="C204" s="827"/>
      <c r="D204" s="827"/>
      <c r="E204" s="819"/>
      <c r="F204" s="350">
        <v>82</v>
      </c>
      <c r="G204" s="222">
        <v>6600</v>
      </c>
      <c r="H204" s="262"/>
      <c r="I204" s="145">
        <f t="shared" si="49"/>
        <v>0.35</v>
      </c>
      <c r="J204" s="819"/>
      <c r="K204" s="340">
        <f t="shared" si="52"/>
        <v>53.3</v>
      </c>
      <c r="L204" s="331">
        <f t="shared" si="53"/>
        <v>0</v>
      </c>
      <c r="M204" s="338" t="s">
        <v>355</v>
      </c>
      <c r="N204" s="336">
        <v>6.9000000000000006E-2</v>
      </c>
      <c r="O204" s="367">
        <v>4.5</v>
      </c>
      <c r="Q204" s="46"/>
      <c r="R204" s="92"/>
      <c r="S204" s="46"/>
    </row>
    <row r="205" spans="1:48" ht="15" customHeight="1">
      <c r="A205" s="530" t="s">
        <v>894</v>
      </c>
      <c r="B205" s="135" t="s">
        <v>1552</v>
      </c>
      <c r="C205" s="555">
        <v>2.2000000000000002</v>
      </c>
      <c r="D205" s="555">
        <v>2.8</v>
      </c>
      <c r="E205" s="820">
        <f>F205+F206</f>
        <v>1339</v>
      </c>
      <c r="F205" s="350">
        <v>1257</v>
      </c>
      <c r="G205" s="222">
        <v>100600</v>
      </c>
      <c r="H205" s="262"/>
      <c r="I205" s="145">
        <f t="shared" si="49"/>
        <v>0.35</v>
      </c>
      <c r="J205" s="819">
        <f>SUM(E205-(E205*I205))</f>
        <v>870.35</v>
      </c>
      <c r="K205" s="340">
        <f t="shared" si="52"/>
        <v>817.05</v>
      </c>
      <c r="L205" s="331">
        <f t="shared" si="53"/>
        <v>0</v>
      </c>
      <c r="M205" s="265" t="s">
        <v>354</v>
      </c>
      <c r="N205" s="336">
        <v>0.16500000000000001</v>
      </c>
      <c r="O205" s="367">
        <v>18</v>
      </c>
      <c r="Q205" s="46"/>
      <c r="R205" s="92"/>
      <c r="S205" s="46"/>
    </row>
    <row r="206" spans="1:48" ht="15" customHeight="1">
      <c r="A206" s="531"/>
      <c r="B206" s="135" t="s">
        <v>1550</v>
      </c>
      <c r="C206" s="662"/>
      <c r="D206" s="662"/>
      <c r="E206" s="819"/>
      <c r="F206" s="350">
        <v>82</v>
      </c>
      <c r="G206" s="222">
        <v>6600</v>
      </c>
      <c r="H206" s="262"/>
      <c r="I206" s="145">
        <f t="shared" si="49"/>
        <v>0.35</v>
      </c>
      <c r="J206" s="819"/>
      <c r="K206" s="340">
        <f t="shared" si="52"/>
        <v>53.3</v>
      </c>
      <c r="L206" s="331">
        <f t="shared" si="53"/>
        <v>0</v>
      </c>
      <c r="M206" s="338" t="s">
        <v>355</v>
      </c>
      <c r="N206" s="336">
        <v>6.9000000000000006E-2</v>
      </c>
      <c r="O206" s="367">
        <v>4.5</v>
      </c>
      <c r="Q206" s="46"/>
      <c r="R206" s="92"/>
      <c r="S206" s="46"/>
    </row>
    <row r="207" spans="1:48" ht="15" customHeight="1">
      <c r="A207" s="530" t="s">
        <v>895</v>
      </c>
      <c r="B207" s="135" t="s">
        <v>1553</v>
      </c>
      <c r="C207" s="555">
        <v>2.8</v>
      </c>
      <c r="D207" s="555">
        <v>3.2</v>
      </c>
      <c r="E207" s="820">
        <f>F207+F208</f>
        <v>1450</v>
      </c>
      <c r="F207" s="350">
        <v>1368</v>
      </c>
      <c r="G207" s="222">
        <v>109500</v>
      </c>
      <c r="H207" s="262"/>
      <c r="I207" s="145">
        <f t="shared" si="49"/>
        <v>0.35</v>
      </c>
      <c r="J207" s="819">
        <f>SUM(E207-(E207*I207))</f>
        <v>942.5</v>
      </c>
      <c r="K207" s="340">
        <f t="shared" si="52"/>
        <v>889.2</v>
      </c>
      <c r="L207" s="331">
        <f t="shared" si="53"/>
        <v>0</v>
      </c>
      <c r="M207" s="265" t="s">
        <v>354</v>
      </c>
      <c r="N207" s="336">
        <v>0.16500000000000001</v>
      </c>
      <c r="O207" s="367">
        <v>18</v>
      </c>
      <c r="Q207" s="46"/>
      <c r="R207" s="92"/>
      <c r="S207" s="46"/>
    </row>
    <row r="208" spans="1:48" ht="15" customHeight="1">
      <c r="A208" s="531"/>
      <c r="B208" s="135" t="s">
        <v>1550</v>
      </c>
      <c r="C208" s="662"/>
      <c r="D208" s="662"/>
      <c r="E208" s="819"/>
      <c r="F208" s="350">
        <v>82</v>
      </c>
      <c r="G208" s="222">
        <v>6600</v>
      </c>
      <c r="H208" s="262"/>
      <c r="I208" s="145">
        <f t="shared" si="49"/>
        <v>0.35</v>
      </c>
      <c r="J208" s="819"/>
      <c r="K208" s="340">
        <f t="shared" si="52"/>
        <v>53.3</v>
      </c>
      <c r="L208" s="331">
        <f t="shared" si="53"/>
        <v>0</v>
      </c>
      <c r="M208" s="338" t="s">
        <v>355</v>
      </c>
      <c r="N208" s="336">
        <v>6.9000000000000006E-2</v>
      </c>
      <c r="O208" s="367">
        <v>4.5</v>
      </c>
      <c r="Q208" s="46"/>
      <c r="R208" s="92"/>
      <c r="S208" s="46"/>
    </row>
    <row r="209" spans="1:48" ht="15" customHeight="1">
      <c r="A209" s="530" t="s">
        <v>896</v>
      </c>
      <c r="B209" s="135" t="s">
        <v>1554</v>
      </c>
      <c r="C209" s="555">
        <v>3.6</v>
      </c>
      <c r="D209" s="555">
        <v>4.0999999999999996</v>
      </c>
      <c r="E209" s="820">
        <f>F209+F210</f>
        <v>1499</v>
      </c>
      <c r="F209" s="350">
        <v>1417</v>
      </c>
      <c r="G209" s="222">
        <v>113400</v>
      </c>
      <c r="H209" s="262"/>
      <c r="I209" s="145">
        <f t="shared" si="49"/>
        <v>0.35</v>
      </c>
      <c r="J209" s="819">
        <f>SUM(E209-(E209*I209))</f>
        <v>974.35</v>
      </c>
      <c r="K209" s="340">
        <f t="shared" si="52"/>
        <v>921.05</v>
      </c>
      <c r="L209" s="331">
        <f t="shared" ref="L209:L236" si="54">H209*K209</f>
        <v>0</v>
      </c>
      <c r="M209" s="265" t="s">
        <v>354</v>
      </c>
      <c r="N209" s="336">
        <v>0.16500000000000001</v>
      </c>
      <c r="O209" s="367">
        <v>18</v>
      </c>
      <c r="Q209" s="46"/>
      <c r="R209" s="92"/>
      <c r="S209" s="46"/>
    </row>
    <row r="210" spans="1:48" ht="15" customHeight="1">
      <c r="A210" s="531"/>
      <c r="B210" s="135" t="s">
        <v>1550</v>
      </c>
      <c r="C210" s="662"/>
      <c r="D210" s="662"/>
      <c r="E210" s="819"/>
      <c r="F210" s="350">
        <v>82</v>
      </c>
      <c r="G210" s="222">
        <v>6600</v>
      </c>
      <c r="H210" s="262"/>
      <c r="I210" s="145">
        <f t="shared" si="49"/>
        <v>0.35</v>
      </c>
      <c r="J210" s="819"/>
      <c r="K210" s="340">
        <f t="shared" si="52"/>
        <v>53.3</v>
      </c>
      <c r="L210" s="331">
        <f t="shared" si="54"/>
        <v>0</v>
      </c>
      <c r="M210" s="338" t="s">
        <v>355</v>
      </c>
      <c r="N210" s="336">
        <v>6.9000000000000006E-2</v>
      </c>
      <c r="O210" s="367">
        <v>4.5</v>
      </c>
      <c r="Q210" s="46"/>
      <c r="R210" s="92"/>
      <c r="S210" s="46"/>
    </row>
    <row r="211" spans="1:48" ht="15" customHeight="1">
      <c r="A211" s="530" t="s">
        <v>897</v>
      </c>
      <c r="B211" s="135" t="s">
        <v>1555</v>
      </c>
      <c r="C211" s="555">
        <v>4.5</v>
      </c>
      <c r="D211" s="852">
        <v>5</v>
      </c>
      <c r="E211" s="820">
        <f>F211+F212</f>
        <v>1550</v>
      </c>
      <c r="F211" s="350">
        <v>1468</v>
      </c>
      <c r="G211" s="222">
        <v>117500</v>
      </c>
      <c r="H211" s="262"/>
      <c r="I211" s="145">
        <f t="shared" si="49"/>
        <v>0.35</v>
      </c>
      <c r="J211" s="819">
        <f>SUM(E211-(E211*I211))</f>
        <v>1007.5</v>
      </c>
      <c r="K211" s="340">
        <f t="shared" si="52"/>
        <v>954.2</v>
      </c>
      <c r="L211" s="331">
        <f t="shared" si="54"/>
        <v>0</v>
      </c>
      <c r="M211" s="265" t="s">
        <v>354</v>
      </c>
      <c r="N211" s="336">
        <v>0.16500000000000001</v>
      </c>
      <c r="O211" s="367">
        <v>18</v>
      </c>
      <c r="Q211" s="46"/>
      <c r="R211" s="92"/>
      <c r="S211" s="46"/>
    </row>
    <row r="212" spans="1:48" ht="15" customHeight="1">
      <c r="A212" s="531"/>
      <c r="B212" s="135" t="s">
        <v>1550</v>
      </c>
      <c r="C212" s="662"/>
      <c r="D212" s="853"/>
      <c r="E212" s="819"/>
      <c r="F212" s="350">
        <v>82</v>
      </c>
      <c r="G212" s="222">
        <v>6600</v>
      </c>
      <c r="H212" s="262"/>
      <c r="I212" s="145">
        <f t="shared" si="49"/>
        <v>0.35</v>
      </c>
      <c r="J212" s="819"/>
      <c r="K212" s="340">
        <f t="shared" si="52"/>
        <v>53.3</v>
      </c>
      <c r="L212" s="331">
        <f t="shared" si="54"/>
        <v>0</v>
      </c>
      <c r="M212" s="338" t="s">
        <v>355</v>
      </c>
      <c r="N212" s="336">
        <v>6.9000000000000006E-2</v>
      </c>
      <c r="O212" s="367">
        <v>4.5</v>
      </c>
      <c r="Q212" s="46"/>
      <c r="R212" s="92"/>
      <c r="S212" s="46"/>
    </row>
    <row r="213" spans="1:48" ht="15" customHeight="1">
      <c r="A213" s="530" t="s">
        <v>898</v>
      </c>
      <c r="B213" s="135" t="s">
        <v>1556</v>
      </c>
      <c r="C213" s="555">
        <v>5.6</v>
      </c>
      <c r="D213" s="555">
        <v>6.3</v>
      </c>
      <c r="E213" s="820">
        <f>F213+F214</f>
        <v>1597</v>
      </c>
      <c r="F213" s="350">
        <v>1515</v>
      </c>
      <c r="G213" s="222">
        <v>121200</v>
      </c>
      <c r="H213" s="262"/>
      <c r="I213" s="145">
        <f t="shared" si="49"/>
        <v>0.35</v>
      </c>
      <c r="J213" s="819">
        <f>SUM(E213-(E213*I213))</f>
        <v>1038.0500000000002</v>
      </c>
      <c r="K213" s="340">
        <f t="shared" si="52"/>
        <v>984.75</v>
      </c>
      <c r="L213" s="331">
        <f t="shared" si="54"/>
        <v>0</v>
      </c>
      <c r="M213" s="265" t="s">
        <v>354</v>
      </c>
      <c r="N213" s="336">
        <v>0.16500000000000001</v>
      </c>
      <c r="O213" s="367">
        <v>20</v>
      </c>
      <c r="Q213" s="46"/>
      <c r="R213" s="92"/>
      <c r="S213" s="46"/>
    </row>
    <row r="214" spans="1:48" s="3" customFormat="1" ht="15" customHeight="1">
      <c r="A214" s="531"/>
      <c r="B214" s="135" t="s">
        <v>1550</v>
      </c>
      <c r="C214" s="662"/>
      <c r="D214" s="662"/>
      <c r="E214" s="819"/>
      <c r="F214" s="350">
        <v>82</v>
      </c>
      <c r="G214" s="222">
        <v>6600</v>
      </c>
      <c r="H214" s="262"/>
      <c r="I214" s="145">
        <f t="shared" si="49"/>
        <v>0.35</v>
      </c>
      <c r="J214" s="819"/>
      <c r="K214" s="340">
        <f t="shared" si="52"/>
        <v>53.3</v>
      </c>
      <c r="L214" s="331">
        <f t="shared" si="54"/>
        <v>0</v>
      </c>
      <c r="M214" s="338" t="s">
        <v>355</v>
      </c>
      <c r="N214" s="336">
        <v>6.9000000000000006E-2</v>
      </c>
      <c r="O214" s="367">
        <v>4.5</v>
      </c>
      <c r="P214" s="47"/>
      <c r="Q214" s="46"/>
      <c r="R214" s="92"/>
      <c r="S214" s="46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</row>
    <row r="215" spans="1:48" ht="15" customHeight="1">
      <c r="A215" s="530" t="s">
        <v>899</v>
      </c>
      <c r="B215" s="135" t="s">
        <v>1557</v>
      </c>
      <c r="C215" s="555">
        <v>7.1</v>
      </c>
      <c r="D215" s="852">
        <v>8</v>
      </c>
      <c r="E215" s="820">
        <f>F215+F216</f>
        <v>1630</v>
      </c>
      <c r="F215" s="350">
        <v>1548</v>
      </c>
      <c r="G215" s="222">
        <v>123900</v>
      </c>
      <c r="H215" s="262"/>
      <c r="I215" s="145">
        <f t="shared" si="49"/>
        <v>0.35</v>
      </c>
      <c r="J215" s="819">
        <f>SUM(E215-(E215*I215))</f>
        <v>1059.5</v>
      </c>
      <c r="K215" s="340">
        <f t="shared" si="52"/>
        <v>1006.2</v>
      </c>
      <c r="L215" s="331">
        <f t="shared" si="54"/>
        <v>0</v>
      </c>
      <c r="M215" s="265" t="s">
        <v>354</v>
      </c>
      <c r="N215" s="336">
        <v>0.16500000000000001</v>
      </c>
      <c r="O215" s="367">
        <v>20</v>
      </c>
      <c r="Q215" s="46"/>
      <c r="R215" s="92"/>
      <c r="S215" s="46"/>
    </row>
    <row r="216" spans="1:48" s="2" customFormat="1" ht="15" customHeight="1">
      <c r="A216" s="531"/>
      <c r="B216" s="135" t="s">
        <v>1550</v>
      </c>
      <c r="C216" s="662"/>
      <c r="D216" s="853"/>
      <c r="E216" s="819"/>
      <c r="F216" s="350">
        <v>82</v>
      </c>
      <c r="G216" s="222">
        <v>6600</v>
      </c>
      <c r="H216" s="262"/>
      <c r="I216" s="145">
        <f t="shared" si="49"/>
        <v>0.35</v>
      </c>
      <c r="J216" s="819"/>
      <c r="K216" s="340">
        <f t="shared" si="52"/>
        <v>53.3</v>
      </c>
      <c r="L216" s="331">
        <f t="shared" si="54"/>
        <v>0</v>
      </c>
      <c r="M216" s="338" t="s">
        <v>355</v>
      </c>
      <c r="N216" s="336">
        <v>6.9000000000000006E-2</v>
      </c>
      <c r="O216" s="367">
        <v>4.5</v>
      </c>
      <c r="P216" s="44"/>
      <c r="Q216" s="46"/>
      <c r="R216" s="92"/>
      <c r="S216" s="46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</row>
    <row r="217" spans="1:48" ht="30" customHeight="1">
      <c r="A217" s="652" t="s">
        <v>177</v>
      </c>
      <c r="B217" s="653"/>
      <c r="C217" s="653"/>
      <c r="D217" s="653"/>
      <c r="E217" s="653"/>
      <c r="F217" s="653"/>
      <c r="G217" s="653"/>
      <c r="H217" s="653"/>
      <c r="I217" s="653"/>
      <c r="J217" s="653"/>
      <c r="K217" s="653"/>
      <c r="L217" s="250"/>
      <c r="M217" s="251"/>
      <c r="N217" s="251"/>
      <c r="O217" s="442"/>
      <c r="Q217" s="46"/>
      <c r="R217" s="92"/>
      <c r="S217" s="46"/>
    </row>
    <row r="218" spans="1:48" ht="30" customHeight="1">
      <c r="A218" s="537" t="s">
        <v>176</v>
      </c>
      <c r="B218" s="538"/>
      <c r="C218" s="538"/>
      <c r="D218" s="538"/>
      <c r="E218" s="538"/>
      <c r="F218" s="538"/>
      <c r="G218" s="538"/>
      <c r="H218" s="538"/>
      <c r="I218" s="538"/>
      <c r="J218" s="538"/>
      <c r="K218" s="538"/>
      <c r="L218" s="538"/>
      <c r="M218" s="538"/>
      <c r="N218" s="538"/>
      <c r="O218" s="539"/>
      <c r="Q218" s="46"/>
      <c r="R218" s="92"/>
      <c r="S218" s="46"/>
    </row>
    <row r="219" spans="1:48" ht="15" customHeight="1">
      <c r="A219" s="530" t="s">
        <v>305</v>
      </c>
      <c r="B219" s="135" t="s">
        <v>305</v>
      </c>
      <c r="C219" s="555">
        <v>5.6</v>
      </c>
      <c r="D219" s="555">
        <v>6.3</v>
      </c>
      <c r="E219" s="845">
        <f>F219+F220</f>
        <v>1607</v>
      </c>
      <c r="F219" s="350">
        <v>1524</v>
      </c>
      <c r="G219" s="222">
        <v>122000</v>
      </c>
      <c r="H219" s="262"/>
      <c r="I219" s="145">
        <f t="shared" ref="I219:I236" si="55">$D$3</f>
        <v>0.35</v>
      </c>
      <c r="J219" s="819">
        <f>SUM(E219-(E219*I219))</f>
        <v>1044.5500000000002</v>
      </c>
      <c r="K219" s="340">
        <f t="shared" ref="K219:K236" si="56">SUM(F219-(F219*I219))</f>
        <v>990.6</v>
      </c>
      <c r="L219" s="331">
        <f t="shared" ref="L219:L226" si="57">H219*K219</f>
        <v>0</v>
      </c>
      <c r="M219" s="265" t="s">
        <v>356</v>
      </c>
      <c r="N219" s="336">
        <v>0.40400000000000003</v>
      </c>
      <c r="O219" s="370">
        <v>28</v>
      </c>
      <c r="Q219" s="46"/>
      <c r="R219" s="92"/>
      <c r="S219" s="46"/>
    </row>
    <row r="220" spans="1:48" ht="15" customHeight="1">
      <c r="A220" s="531"/>
      <c r="B220" s="135" t="s">
        <v>1273</v>
      </c>
      <c r="C220" s="662"/>
      <c r="D220" s="662"/>
      <c r="E220" s="846"/>
      <c r="F220" s="350">
        <v>83</v>
      </c>
      <c r="G220" s="222">
        <v>5700</v>
      </c>
      <c r="H220" s="262"/>
      <c r="I220" s="145">
        <f t="shared" si="55"/>
        <v>0.35</v>
      </c>
      <c r="J220" s="819"/>
      <c r="K220" s="340">
        <f t="shared" si="56"/>
        <v>53.95</v>
      </c>
      <c r="L220" s="331">
        <f t="shared" si="57"/>
        <v>0</v>
      </c>
      <c r="M220" s="338" t="s">
        <v>342</v>
      </c>
      <c r="N220" s="336">
        <v>0.11700000000000001</v>
      </c>
      <c r="O220" s="370">
        <v>8.5</v>
      </c>
      <c r="Q220" s="46"/>
      <c r="S220" s="92"/>
    </row>
    <row r="221" spans="1:48" ht="15" customHeight="1">
      <c r="A221" s="530" t="s">
        <v>306</v>
      </c>
      <c r="B221" s="135" t="s">
        <v>306</v>
      </c>
      <c r="C221" s="555">
        <v>7.1</v>
      </c>
      <c r="D221" s="555">
        <v>8</v>
      </c>
      <c r="E221" s="845">
        <f>F221+F222</f>
        <v>1694</v>
      </c>
      <c r="F221" s="350">
        <v>1611</v>
      </c>
      <c r="G221" s="222">
        <v>128900</v>
      </c>
      <c r="H221" s="262"/>
      <c r="I221" s="145">
        <f t="shared" si="55"/>
        <v>0.35</v>
      </c>
      <c r="J221" s="819">
        <f>SUM(E221-(E221*I221))</f>
        <v>1101.0999999999999</v>
      </c>
      <c r="K221" s="340">
        <f t="shared" si="56"/>
        <v>1047.1500000000001</v>
      </c>
      <c r="L221" s="331">
        <f t="shared" si="57"/>
        <v>0</v>
      </c>
      <c r="M221" s="265" t="s">
        <v>356</v>
      </c>
      <c r="N221" s="336">
        <v>0.40400000000000003</v>
      </c>
      <c r="O221" s="370">
        <v>28</v>
      </c>
      <c r="P221" s="92"/>
      <c r="Q221" s="46"/>
      <c r="R221" s="92"/>
      <c r="S221" s="46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</row>
    <row r="222" spans="1:48" ht="15" customHeight="1">
      <c r="A222" s="531"/>
      <c r="B222" s="135" t="s">
        <v>1273</v>
      </c>
      <c r="C222" s="662"/>
      <c r="D222" s="662"/>
      <c r="E222" s="846"/>
      <c r="F222" s="350">
        <v>83</v>
      </c>
      <c r="G222" s="222">
        <v>5700</v>
      </c>
      <c r="H222" s="262"/>
      <c r="I222" s="145">
        <f t="shared" si="55"/>
        <v>0.35</v>
      </c>
      <c r="J222" s="819"/>
      <c r="K222" s="340">
        <f t="shared" si="56"/>
        <v>53.95</v>
      </c>
      <c r="L222" s="331">
        <f t="shared" si="57"/>
        <v>0</v>
      </c>
      <c r="M222" s="338" t="s">
        <v>342</v>
      </c>
      <c r="N222" s="336">
        <v>0.11700000000000001</v>
      </c>
      <c r="O222" s="370">
        <v>8.5</v>
      </c>
      <c r="P222" s="92"/>
      <c r="Q222" s="46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</row>
    <row r="223" spans="1:48" ht="15" customHeight="1">
      <c r="A223" s="828" t="s">
        <v>559</v>
      </c>
      <c r="B223" s="135" t="s">
        <v>559</v>
      </c>
      <c r="C223" s="555">
        <v>5.6</v>
      </c>
      <c r="D223" s="555">
        <v>6.3</v>
      </c>
      <c r="E223" s="845">
        <f>F223+F224</f>
        <v>1760</v>
      </c>
      <c r="F223" s="350">
        <v>1677</v>
      </c>
      <c r="G223" s="222">
        <v>134200</v>
      </c>
      <c r="H223" s="262"/>
      <c r="I223" s="145">
        <f t="shared" si="55"/>
        <v>0.35</v>
      </c>
      <c r="J223" s="819">
        <f>SUM(E223-(E223*I223))</f>
        <v>1144</v>
      </c>
      <c r="K223" s="340">
        <f t="shared" si="56"/>
        <v>1090.0500000000002</v>
      </c>
      <c r="L223" s="331">
        <f t="shared" si="57"/>
        <v>0</v>
      </c>
      <c r="M223" s="265" t="s">
        <v>560</v>
      </c>
      <c r="N223" s="336">
        <v>0.40400000000000003</v>
      </c>
      <c r="O223" s="370">
        <v>33</v>
      </c>
      <c r="P223" s="92"/>
      <c r="Q223" s="46"/>
      <c r="R223" s="92"/>
      <c r="S223" s="46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</row>
    <row r="224" spans="1:48" ht="18" customHeight="1">
      <c r="A224" s="531"/>
      <c r="B224" s="135" t="s">
        <v>1273</v>
      </c>
      <c r="C224" s="662"/>
      <c r="D224" s="662"/>
      <c r="E224" s="846"/>
      <c r="F224" s="350">
        <v>83</v>
      </c>
      <c r="G224" s="222">
        <v>5700</v>
      </c>
      <c r="H224" s="262"/>
      <c r="I224" s="145">
        <f t="shared" si="55"/>
        <v>0.35</v>
      </c>
      <c r="J224" s="819"/>
      <c r="K224" s="340">
        <f t="shared" si="56"/>
        <v>53.95</v>
      </c>
      <c r="L224" s="331">
        <f t="shared" si="57"/>
        <v>0</v>
      </c>
      <c r="M224" s="338" t="s">
        <v>342</v>
      </c>
      <c r="N224" s="336">
        <v>0.11700000000000001</v>
      </c>
      <c r="O224" s="370">
        <v>8.5</v>
      </c>
      <c r="P224" s="92"/>
      <c r="Q224" s="46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</row>
    <row r="225" spans="1:48" ht="15" customHeight="1">
      <c r="A225" s="828" t="s">
        <v>561</v>
      </c>
      <c r="B225" s="135" t="s">
        <v>561</v>
      </c>
      <c r="C225" s="555">
        <v>7.1</v>
      </c>
      <c r="D225" s="555">
        <v>8</v>
      </c>
      <c r="E225" s="845">
        <f>F225+F226</f>
        <v>1777</v>
      </c>
      <c r="F225" s="350">
        <v>1694</v>
      </c>
      <c r="G225" s="222">
        <v>135600</v>
      </c>
      <c r="H225" s="262"/>
      <c r="I225" s="145">
        <f t="shared" si="55"/>
        <v>0.35</v>
      </c>
      <c r="J225" s="819">
        <f>SUM(E225-(E225*I225))</f>
        <v>1155.0500000000002</v>
      </c>
      <c r="K225" s="340">
        <f t="shared" si="56"/>
        <v>1101.0999999999999</v>
      </c>
      <c r="L225" s="331">
        <f t="shared" si="57"/>
        <v>0</v>
      </c>
      <c r="M225" s="265" t="s">
        <v>560</v>
      </c>
      <c r="N225" s="336">
        <v>0.40400000000000003</v>
      </c>
      <c r="O225" s="370">
        <v>33</v>
      </c>
      <c r="P225" s="92"/>
      <c r="Q225" s="46"/>
      <c r="R225" s="92"/>
      <c r="S225" s="46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</row>
    <row r="226" spans="1:48" ht="18" customHeight="1">
      <c r="A226" s="531"/>
      <c r="B226" s="135" t="s">
        <v>1273</v>
      </c>
      <c r="C226" s="662"/>
      <c r="D226" s="662"/>
      <c r="E226" s="846"/>
      <c r="F226" s="350">
        <v>83</v>
      </c>
      <c r="G226" s="222">
        <v>5700</v>
      </c>
      <c r="H226" s="262"/>
      <c r="I226" s="145">
        <f t="shared" si="55"/>
        <v>0.35</v>
      </c>
      <c r="J226" s="819"/>
      <c r="K226" s="340">
        <f t="shared" si="56"/>
        <v>53.95</v>
      </c>
      <c r="L226" s="331">
        <f t="shared" si="57"/>
        <v>0</v>
      </c>
      <c r="M226" s="338" t="s">
        <v>342</v>
      </c>
      <c r="N226" s="336">
        <v>0.11700000000000001</v>
      </c>
      <c r="O226" s="370">
        <v>8.5</v>
      </c>
      <c r="P226" s="92"/>
      <c r="Q226" s="46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</row>
    <row r="227" spans="1:48" ht="15" customHeight="1">
      <c r="A227" s="530" t="s">
        <v>217</v>
      </c>
      <c r="B227" s="135" t="s">
        <v>217</v>
      </c>
      <c r="C227" s="555">
        <v>9</v>
      </c>
      <c r="D227" s="555">
        <v>10</v>
      </c>
      <c r="E227" s="845">
        <f>F227+F228</f>
        <v>1862</v>
      </c>
      <c r="F227" s="350">
        <v>1779</v>
      </c>
      <c r="G227" s="222">
        <v>142400</v>
      </c>
      <c r="H227" s="262"/>
      <c r="I227" s="145">
        <f t="shared" si="55"/>
        <v>0.35</v>
      </c>
      <c r="J227" s="819">
        <f>SUM(E227-(E227*I227))</f>
        <v>1210.3000000000002</v>
      </c>
      <c r="K227" s="340">
        <f t="shared" si="56"/>
        <v>1156.3499999999999</v>
      </c>
      <c r="L227" s="331">
        <f t="shared" si="54"/>
        <v>0</v>
      </c>
      <c r="M227" s="265" t="s">
        <v>357</v>
      </c>
      <c r="N227" s="336">
        <v>0.40400000000000003</v>
      </c>
      <c r="O227" s="370">
        <v>33</v>
      </c>
      <c r="P227" s="92"/>
      <c r="Q227" s="46"/>
      <c r="R227" s="92"/>
      <c r="S227" s="46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</row>
    <row r="228" spans="1:48" ht="15" customHeight="1">
      <c r="A228" s="531"/>
      <c r="B228" s="135" t="s">
        <v>1273</v>
      </c>
      <c r="C228" s="662"/>
      <c r="D228" s="662"/>
      <c r="E228" s="846"/>
      <c r="F228" s="350">
        <v>83</v>
      </c>
      <c r="G228" s="222">
        <v>5700</v>
      </c>
      <c r="H228" s="262"/>
      <c r="I228" s="145">
        <f t="shared" si="55"/>
        <v>0.35</v>
      </c>
      <c r="J228" s="819"/>
      <c r="K228" s="340">
        <f t="shared" si="56"/>
        <v>53.95</v>
      </c>
      <c r="L228" s="331">
        <f t="shared" si="54"/>
        <v>0</v>
      </c>
      <c r="M228" s="338" t="s">
        <v>342</v>
      </c>
      <c r="N228" s="336">
        <v>0.11700000000000001</v>
      </c>
      <c r="O228" s="370">
        <v>8.5</v>
      </c>
      <c r="P228" s="92"/>
      <c r="Q228" s="46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</row>
    <row r="229" spans="1:48" ht="15" customHeight="1">
      <c r="A229" s="828" t="s">
        <v>562</v>
      </c>
      <c r="B229" s="135" t="s">
        <v>562</v>
      </c>
      <c r="C229" s="555">
        <v>10</v>
      </c>
      <c r="D229" s="555">
        <v>11.2</v>
      </c>
      <c r="E229" s="845">
        <f>F229+F230</f>
        <v>1897</v>
      </c>
      <c r="F229" s="350">
        <v>1814</v>
      </c>
      <c r="G229" s="222">
        <v>145200</v>
      </c>
      <c r="H229" s="262"/>
      <c r="I229" s="145">
        <f t="shared" si="55"/>
        <v>0.35</v>
      </c>
      <c r="J229" s="819">
        <f>SUM(E229-(E229*I229))</f>
        <v>1233.0500000000002</v>
      </c>
      <c r="K229" s="340">
        <f t="shared" si="56"/>
        <v>1179.0999999999999</v>
      </c>
      <c r="L229" s="331">
        <f t="shared" si="54"/>
        <v>0</v>
      </c>
      <c r="M229" s="265" t="s">
        <v>357</v>
      </c>
      <c r="N229" s="336">
        <v>0.40400000000000003</v>
      </c>
      <c r="O229" s="370">
        <v>33</v>
      </c>
      <c r="P229" s="92"/>
      <c r="Q229" s="46"/>
      <c r="R229" s="92"/>
      <c r="S229" s="46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</row>
    <row r="230" spans="1:48" ht="18" customHeight="1">
      <c r="A230" s="531"/>
      <c r="B230" s="135" t="s">
        <v>1273</v>
      </c>
      <c r="C230" s="662"/>
      <c r="D230" s="662"/>
      <c r="E230" s="846"/>
      <c r="F230" s="350">
        <v>83</v>
      </c>
      <c r="G230" s="222">
        <v>5700</v>
      </c>
      <c r="H230" s="262"/>
      <c r="I230" s="145">
        <f t="shared" si="55"/>
        <v>0.35</v>
      </c>
      <c r="J230" s="819"/>
      <c r="K230" s="340">
        <f t="shared" si="56"/>
        <v>53.95</v>
      </c>
      <c r="L230" s="331">
        <f t="shared" si="54"/>
        <v>0</v>
      </c>
      <c r="M230" s="338" t="s">
        <v>342</v>
      </c>
      <c r="N230" s="336">
        <v>0.11700000000000001</v>
      </c>
      <c r="O230" s="370">
        <v>8.5</v>
      </c>
      <c r="P230" s="92"/>
      <c r="Q230" s="46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</row>
    <row r="231" spans="1:48" ht="15" customHeight="1">
      <c r="A231" s="530" t="s">
        <v>218</v>
      </c>
      <c r="B231" s="135" t="s">
        <v>218</v>
      </c>
      <c r="C231" s="555">
        <v>11.2</v>
      </c>
      <c r="D231" s="555">
        <v>12.5</v>
      </c>
      <c r="E231" s="845">
        <f>F231+F232</f>
        <v>1936</v>
      </c>
      <c r="F231" s="350">
        <v>1853</v>
      </c>
      <c r="G231" s="222">
        <v>148300</v>
      </c>
      <c r="H231" s="262"/>
      <c r="I231" s="145">
        <f t="shared" si="55"/>
        <v>0.35</v>
      </c>
      <c r="J231" s="819">
        <f>SUM(E231-(E231*I231))</f>
        <v>1258.4000000000001</v>
      </c>
      <c r="K231" s="340">
        <f t="shared" si="56"/>
        <v>1204.45</v>
      </c>
      <c r="L231" s="331">
        <f t="shared" si="54"/>
        <v>0</v>
      </c>
      <c r="M231" s="265" t="s">
        <v>357</v>
      </c>
      <c r="N231" s="336">
        <v>0.47099999999999997</v>
      </c>
      <c r="O231" s="370">
        <v>33</v>
      </c>
      <c r="P231" s="92"/>
      <c r="Q231" s="46"/>
      <c r="R231" s="92"/>
      <c r="S231" s="46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</row>
    <row r="232" spans="1:48" ht="15" customHeight="1">
      <c r="A232" s="531"/>
      <c r="B232" s="135" t="s">
        <v>1273</v>
      </c>
      <c r="C232" s="662"/>
      <c r="D232" s="662"/>
      <c r="E232" s="846"/>
      <c r="F232" s="350">
        <v>83</v>
      </c>
      <c r="G232" s="222">
        <v>5700</v>
      </c>
      <c r="H232" s="262"/>
      <c r="I232" s="145">
        <f t="shared" si="55"/>
        <v>0.35</v>
      </c>
      <c r="J232" s="819"/>
      <c r="K232" s="340">
        <f t="shared" si="56"/>
        <v>53.95</v>
      </c>
      <c r="L232" s="331">
        <f t="shared" si="54"/>
        <v>0</v>
      </c>
      <c r="M232" s="338" t="s">
        <v>342</v>
      </c>
      <c r="N232" s="336">
        <v>0.11700000000000001</v>
      </c>
      <c r="O232" s="370">
        <v>8.5</v>
      </c>
      <c r="P232" s="92"/>
      <c r="Q232" s="46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</row>
    <row r="233" spans="1:48" ht="15" customHeight="1">
      <c r="A233" s="530" t="s">
        <v>219</v>
      </c>
      <c r="B233" s="135" t="s">
        <v>219</v>
      </c>
      <c r="C233" s="555">
        <v>12.5</v>
      </c>
      <c r="D233" s="555">
        <v>14</v>
      </c>
      <c r="E233" s="845">
        <f>F233+F234</f>
        <v>2160</v>
      </c>
      <c r="F233" s="350">
        <v>2077</v>
      </c>
      <c r="G233" s="222">
        <v>166200</v>
      </c>
      <c r="H233" s="262"/>
      <c r="I233" s="145">
        <f t="shared" si="55"/>
        <v>0.35</v>
      </c>
      <c r="J233" s="819">
        <f>SUM(E233-(E233*I233))</f>
        <v>1404</v>
      </c>
      <c r="K233" s="340">
        <f t="shared" si="56"/>
        <v>1350.0500000000002</v>
      </c>
      <c r="L233" s="331">
        <f t="shared" si="54"/>
        <v>0</v>
      </c>
      <c r="M233" s="265" t="s">
        <v>357</v>
      </c>
      <c r="N233" s="336">
        <v>0.47099999999999997</v>
      </c>
      <c r="O233" s="370">
        <v>33</v>
      </c>
      <c r="P233" s="92"/>
      <c r="Q233" s="46"/>
      <c r="R233" s="92"/>
      <c r="S233" s="46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</row>
    <row r="234" spans="1:48" ht="15" customHeight="1">
      <c r="A234" s="531"/>
      <c r="B234" s="135" t="s">
        <v>1273</v>
      </c>
      <c r="C234" s="662"/>
      <c r="D234" s="662"/>
      <c r="E234" s="846"/>
      <c r="F234" s="350">
        <v>83</v>
      </c>
      <c r="G234" s="222">
        <v>5700</v>
      </c>
      <c r="H234" s="262"/>
      <c r="I234" s="145">
        <f t="shared" si="55"/>
        <v>0.35</v>
      </c>
      <c r="J234" s="819"/>
      <c r="K234" s="340">
        <f t="shared" si="56"/>
        <v>53.95</v>
      </c>
      <c r="L234" s="331">
        <f t="shared" si="54"/>
        <v>0</v>
      </c>
      <c r="M234" s="338" t="s">
        <v>342</v>
      </c>
      <c r="N234" s="336">
        <v>0.11700000000000001</v>
      </c>
      <c r="O234" s="370">
        <v>8.5</v>
      </c>
      <c r="P234" s="92"/>
      <c r="Q234" s="46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</row>
    <row r="235" spans="1:48" ht="15" customHeight="1">
      <c r="A235" s="530" t="s">
        <v>220</v>
      </c>
      <c r="B235" s="135" t="s">
        <v>220</v>
      </c>
      <c r="C235" s="555">
        <v>14</v>
      </c>
      <c r="D235" s="555">
        <v>16</v>
      </c>
      <c r="E235" s="845">
        <f>F235+F236</f>
        <v>2440</v>
      </c>
      <c r="F235" s="350">
        <v>2357</v>
      </c>
      <c r="G235" s="222">
        <v>188600</v>
      </c>
      <c r="H235" s="262"/>
      <c r="I235" s="145">
        <f t="shared" si="55"/>
        <v>0.35</v>
      </c>
      <c r="J235" s="819">
        <f>SUM(E235-(E235*I235))</f>
        <v>1586</v>
      </c>
      <c r="K235" s="340">
        <f t="shared" si="56"/>
        <v>1532.0500000000002</v>
      </c>
      <c r="L235" s="331">
        <f t="shared" si="54"/>
        <v>0</v>
      </c>
      <c r="M235" s="265" t="s">
        <v>357</v>
      </c>
      <c r="N235" s="336">
        <v>0.47099999999999997</v>
      </c>
      <c r="O235" s="370">
        <v>33</v>
      </c>
      <c r="P235" s="92"/>
      <c r="Q235" s="46"/>
      <c r="R235" s="92"/>
      <c r="S235" s="46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</row>
    <row r="236" spans="1:48" ht="15" customHeight="1">
      <c r="A236" s="531"/>
      <c r="B236" s="135" t="s">
        <v>1273</v>
      </c>
      <c r="C236" s="662"/>
      <c r="D236" s="662"/>
      <c r="E236" s="846"/>
      <c r="F236" s="350">
        <v>83</v>
      </c>
      <c r="G236" s="222">
        <v>5700</v>
      </c>
      <c r="H236" s="262"/>
      <c r="I236" s="145">
        <f t="shared" si="55"/>
        <v>0.35</v>
      </c>
      <c r="J236" s="819"/>
      <c r="K236" s="340">
        <f t="shared" si="56"/>
        <v>53.95</v>
      </c>
      <c r="L236" s="331">
        <f t="shared" si="54"/>
        <v>0</v>
      </c>
      <c r="M236" s="338" t="s">
        <v>342</v>
      </c>
      <c r="N236" s="336">
        <v>0.11700000000000001</v>
      </c>
      <c r="O236" s="370">
        <v>8.5</v>
      </c>
      <c r="P236" s="92"/>
      <c r="Q236" s="46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</row>
    <row r="237" spans="1:48" ht="30" customHeight="1">
      <c r="A237" s="652" t="s">
        <v>55</v>
      </c>
      <c r="B237" s="653"/>
      <c r="C237" s="653"/>
      <c r="D237" s="653"/>
      <c r="E237" s="653"/>
      <c r="F237" s="653"/>
      <c r="G237" s="653"/>
      <c r="H237" s="653"/>
      <c r="I237" s="653"/>
      <c r="J237" s="653"/>
      <c r="K237" s="653"/>
      <c r="L237" s="653"/>
      <c r="M237" s="653"/>
      <c r="N237" s="653"/>
      <c r="O237" s="796"/>
      <c r="Q237" s="46"/>
      <c r="S237" s="46"/>
    </row>
    <row r="238" spans="1:48" s="9" customFormat="1" ht="19.5" customHeight="1">
      <c r="A238" s="824" t="s">
        <v>658</v>
      </c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6"/>
      <c r="P238" s="57"/>
      <c r="Q238" s="46"/>
      <c r="R238" s="57"/>
      <c r="S238" s="46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</row>
    <row r="239" spans="1:48" s="9" customFormat="1" ht="19.5" customHeight="1">
      <c r="A239" s="380" t="s">
        <v>649</v>
      </c>
      <c r="B239" s="261"/>
      <c r="C239" s="353">
        <v>2.2000000000000002</v>
      </c>
      <c r="D239" s="353">
        <v>2.8</v>
      </c>
      <c r="E239" s="231"/>
      <c r="F239" s="350">
        <v>1156</v>
      </c>
      <c r="G239" s="222">
        <v>92500</v>
      </c>
      <c r="H239" s="223"/>
      <c r="I239" s="145">
        <f t="shared" ref="I239:I250" si="58">$D$3</f>
        <v>0.35</v>
      </c>
      <c r="J239" s="350"/>
      <c r="K239" s="340">
        <f t="shared" ref="K239:K244" si="59">SUM(F239-(F239*I239))</f>
        <v>751.40000000000009</v>
      </c>
      <c r="L239" s="331">
        <f t="shared" ref="L239:L244" si="60">H239*K239</f>
        <v>0</v>
      </c>
      <c r="M239" s="265" t="s">
        <v>655</v>
      </c>
      <c r="N239" s="336">
        <v>0.13500000000000001</v>
      </c>
      <c r="O239" s="370">
        <v>22</v>
      </c>
      <c r="P239" s="57"/>
      <c r="Q239" s="46"/>
      <c r="R239" s="57"/>
      <c r="S239" s="46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</row>
    <row r="240" spans="1:48" s="9" customFormat="1" ht="19.5" customHeight="1">
      <c r="A240" s="380" t="s">
        <v>650</v>
      </c>
      <c r="B240" s="261"/>
      <c r="C240" s="353">
        <v>2.8</v>
      </c>
      <c r="D240" s="353">
        <v>3.2</v>
      </c>
      <c r="E240" s="231"/>
      <c r="F240" s="350">
        <v>1184</v>
      </c>
      <c r="G240" s="222">
        <v>94800</v>
      </c>
      <c r="H240" s="223"/>
      <c r="I240" s="145">
        <f t="shared" si="58"/>
        <v>0.35</v>
      </c>
      <c r="J240" s="350"/>
      <c r="K240" s="340">
        <f t="shared" si="59"/>
        <v>769.6</v>
      </c>
      <c r="L240" s="331">
        <f t="shared" si="60"/>
        <v>0</v>
      </c>
      <c r="M240" s="265" t="s">
        <v>655</v>
      </c>
      <c r="N240" s="336">
        <v>0.13500000000000001</v>
      </c>
      <c r="O240" s="370">
        <v>22</v>
      </c>
      <c r="P240" s="57"/>
      <c r="Q240" s="46"/>
      <c r="R240" s="57"/>
      <c r="S240" s="46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</row>
    <row r="241" spans="1:48" s="9" customFormat="1" ht="19.5" customHeight="1">
      <c r="A241" s="380" t="s">
        <v>651</v>
      </c>
      <c r="B241" s="261"/>
      <c r="C241" s="353">
        <v>3.6</v>
      </c>
      <c r="D241" s="353">
        <v>4.0999999999999996</v>
      </c>
      <c r="E241" s="231"/>
      <c r="F241" s="350">
        <v>1240</v>
      </c>
      <c r="G241" s="222">
        <v>99200</v>
      </c>
      <c r="H241" s="223"/>
      <c r="I241" s="145">
        <f t="shared" si="58"/>
        <v>0.35</v>
      </c>
      <c r="J241" s="350"/>
      <c r="K241" s="340">
        <f t="shared" si="59"/>
        <v>806</v>
      </c>
      <c r="L241" s="331">
        <f t="shared" si="60"/>
        <v>0</v>
      </c>
      <c r="M241" s="265" t="s">
        <v>655</v>
      </c>
      <c r="N241" s="336">
        <v>0.13500000000000001</v>
      </c>
      <c r="O241" s="370">
        <v>29</v>
      </c>
      <c r="P241" s="57"/>
      <c r="Q241" s="46"/>
      <c r="R241" s="57"/>
      <c r="S241" s="46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</row>
    <row r="242" spans="1:48" s="9" customFormat="1" ht="19.5" customHeight="1">
      <c r="A242" s="380" t="s">
        <v>652</v>
      </c>
      <c r="B242" s="261"/>
      <c r="C242" s="353">
        <v>4.5</v>
      </c>
      <c r="D242" s="219">
        <v>5</v>
      </c>
      <c r="E242" s="231"/>
      <c r="F242" s="350">
        <v>1295</v>
      </c>
      <c r="G242" s="222">
        <v>103600</v>
      </c>
      <c r="H242" s="223"/>
      <c r="I242" s="145">
        <f t="shared" si="58"/>
        <v>0.35</v>
      </c>
      <c r="J242" s="350"/>
      <c r="K242" s="340">
        <f t="shared" si="59"/>
        <v>841.75</v>
      </c>
      <c r="L242" s="331">
        <f t="shared" si="60"/>
        <v>0</v>
      </c>
      <c r="M242" s="265" t="s">
        <v>655</v>
      </c>
      <c r="N242" s="336">
        <v>0.13500000000000001</v>
      </c>
      <c r="O242" s="370">
        <v>29</v>
      </c>
      <c r="P242" s="57"/>
      <c r="Q242" s="46"/>
      <c r="R242" s="57"/>
      <c r="S242" s="46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</row>
    <row r="243" spans="1:48" s="9" customFormat="1" ht="19.5" customHeight="1">
      <c r="A243" s="380" t="s">
        <v>653</v>
      </c>
      <c r="B243" s="261"/>
      <c r="C243" s="353">
        <v>5.6</v>
      </c>
      <c r="D243" s="353">
        <v>6.3</v>
      </c>
      <c r="E243" s="231"/>
      <c r="F243" s="350">
        <v>1465</v>
      </c>
      <c r="G243" s="222">
        <v>117200</v>
      </c>
      <c r="H243" s="223"/>
      <c r="I243" s="145">
        <f t="shared" si="58"/>
        <v>0.35</v>
      </c>
      <c r="J243" s="350"/>
      <c r="K243" s="340">
        <f t="shared" si="59"/>
        <v>952.25</v>
      </c>
      <c r="L243" s="331">
        <f t="shared" si="60"/>
        <v>0</v>
      </c>
      <c r="M243" s="265" t="s">
        <v>656</v>
      </c>
      <c r="N243" s="336">
        <v>0.16400000000000001</v>
      </c>
      <c r="O243" s="370">
        <v>29</v>
      </c>
      <c r="P243" s="57"/>
      <c r="Q243" s="46"/>
      <c r="R243" s="57"/>
      <c r="S243" s="46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</row>
    <row r="244" spans="1:48" s="9" customFormat="1" ht="19.5" customHeight="1">
      <c r="A244" s="380" t="s">
        <v>654</v>
      </c>
      <c r="B244" s="261"/>
      <c r="C244" s="353">
        <v>7.1</v>
      </c>
      <c r="D244" s="219">
        <v>8</v>
      </c>
      <c r="E244" s="231"/>
      <c r="F244" s="350">
        <v>1325</v>
      </c>
      <c r="G244" s="222">
        <v>106000</v>
      </c>
      <c r="H244" s="223"/>
      <c r="I244" s="145">
        <f t="shared" si="58"/>
        <v>0.35</v>
      </c>
      <c r="J244" s="350"/>
      <c r="K244" s="340">
        <f t="shared" si="59"/>
        <v>861.25</v>
      </c>
      <c r="L244" s="331">
        <f t="shared" si="60"/>
        <v>0</v>
      </c>
      <c r="M244" s="265" t="s">
        <v>657</v>
      </c>
      <c r="N244" s="336">
        <v>0.193</v>
      </c>
      <c r="O244" s="370">
        <v>24</v>
      </c>
      <c r="P244" s="57"/>
      <c r="Q244" s="46"/>
      <c r="R244" s="57"/>
      <c r="S244" s="46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</row>
    <row r="245" spans="1:48" s="9" customFormat="1" ht="19.5" customHeight="1">
      <c r="A245" s="380" t="s">
        <v>1493</v>
      </c>
      <c r="B245" s="261"/>
      <c r="C245" s="353">
        <v>2.2000000000000002</v>
      </c>
      <c r="D245" s="353">
        <v>2.8</v>
      </c>
      <c r="E245" s="231"/>
      <c r="F245" s="350">
        <v>1156</v>
      </c>
      <c r="G245" s="222">
        <v>92500</v>
      </c>
      <c r="H245" s="223"/>
      <c r="I245" s="145">
        <f t="shared" si="58"/>
        <v>0.35</v>
      </c>
      <c r="J245" s="350"/>
      <c r="K245" s="340">
        <f t="shared" ref="K245:K250" si="61">SUM(F245-(F245*I245))</f>
        <v>751.40000000000009</v>
      </c>
      <c r="L245" s="331">
        <f t="shared" ref="L245:L250" si="62">H245*K245</f>
        <v>0</v>
      </c>
      <c r="M245" s="265" t="s">
        <v>655</v>
      </c>
      <c r="N245" s="336">
        <v>0.13500000000000001</v>
      </c>
      <c r="O245" s="370">
        <v>22</v>
      </c>
      <c r="P245" s="57"/>
      <c r="Q245" s="46"/>
      <c r="R245" s="57"/>
      <c r="S245" s="46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</row>
    <row r="246" spans="1:48" s="9" customFormat="1" ht="19.5" customHeight="1">
      <c r="A246" s="380" t="s">
        <v>1494</v>
      </c>
      <c r="B246" s="261"/>
      <c r="C246" s="353">
        <v>2.8</v>
      </c>
      <c r="D246" s="353">
        <v>3.2</v>
      </c>
      <c r="E246" s="231"/>
      <c r="F246" s="350">
        <v>1184</v>
      </c>
      <c r="G246" s="222">
        <v>94800</v>
      </c>
      <c r="H246" s="223"/>
      <c r="I246" s="145">
        <f t="shared" si="58"/>
        <v>0.35</v>
      </c>
      <c r="J246" s="350"/>
      <c r="K246" s="340">
        <f t="shared" si="61"/>
        <v>769.6</v>
      </c>
      <c r="L246" s="331">
        <f t="shared" si="62"/>
        <v>0</v>
      </c>
      <c r="M246" s="265" t="s">
        <v>655</v>
      </c>
      <c r="N246" s="336">
        <v>0.13500000000000001</v>
      </c>
      <c r="O246" s="370">
        <v>22</v>
      </c>
      <c r="P246" s="57"/>
      <c r="Q246" s="46"/>
      <c r="R246" s="57"/>
      <c r="S246" s="46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</row>
    <row r="247" spans="1:48" s="9" customFormat="1" ht="19.5" customHeight="1">
      <c r="A247" s="380" t="s">
        <v>1495</v>
      </c>
      <c r="B247" s="261"/>
      <c r="C247" s="353">
        <v>3.6</v>
      </c>
      <c r="D247" s="353">
        <v>4.0999999999999996</v>
      </c>
      <c r="E247" s="231"/>
      <c r="F247" s="350">
        <v>1240</v>
      </c>
      <c r="G247" s="222">
        <v>99200</v>
      </c>
      <c r="H247" s="223"/>
      <c r="I247" s="145">
        <f t="shared" si="58"/>
        <v>0.35</v>
      </c>
      <c r="J247" s="350"/>
      <c r="K247" s="340">
        <f t="shared" si="61"/>
        <v>806</v>
      </c>
      <c r="L247" s="331">
        <f t="shared" si="62"/>
        <v>0</v>
      </c>
      <c r="M247" s="265" t="s">
        <v>655</v>
      </c>
      <c r="N247" s="336">
        <v>0.13500000000000001</v>
      </c>
      <c r="O247" s="370">
        <v>29</v>
      </c>
      <c r="P247" s="57"/>
      <c r="Q247" s="46"/>
      <c r="R247" s="57"/>
      <c r="S247" s="46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</row>
    <row r="248" spans="1:48" s="9" customFormat="1" ht="19.5" customHeight="1">
      <c r="A248" s="380" t="s">
        <v>1496</v>
      </c>
      <c r="B248" s="261"/>
      <c r="C248" s="353">
        <v>4.5</v>
      </c>
      <c r="D248" s="219">
        <v>5</v>
      </c>
      <c r="E248" s="231"/>
      <c r="F248" s="350">
        <v>1295</v>
      </c>
      <c r="G248" s="222">
        <v>103600</v>
      </c>
      <c r="H248" s="223"/>
      <c r="I248" s="145">
        <f t="shared" si="58"/>
        <v>0.35</v>
      </c>
      <c r="J248" s="350"/>
      <c r="K248" s="340">
        <f t="shared" si="61"/>
        <v>841.75</v>
      </c>
      <c r="L248" s="331">
        <f t="shared" si="62"/>
        <v>0</v>
      </c>
      <c r="M248" s="265" t="s">
        <v>655</v>
      </c>
      <c r="N248" s="336">
        <v>0.13500000000000001</v>
      </c>
      <c r="O248" s="370">
        <v>29</v>
      </c>
      <c r="P248" s="57"/>
      <c r="Q248" s="46"/>
      <c r="R248" s="57"/>
      <c r="S248" s="46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</row>
    <row r="249" spans="1:48" s="9" customFormat="1" ht="19.5" customHeight="1">
      <c r="A249" s="380" t="s">
        <v>1497</v>
      </c>
      <c r="B249" s="261"/>
      <c r="C249" s="353">
        <v>5.6</v>
      </c>
      <c r="D249" s="353">
        <v>6.3</v>
      </c>
      <c r="E249" s="231"/>
      <c r="F249" s="350">
        <v>1465</v>
      </c>
      <c r="G249" s="222">
        <v>117200</v>
      </c>
      <c r="H249" s="223"/>
      <c r="I249" s="145">
        <f t="shared" si="58"/>
        <v>0.35</v>
      </c>
      <c r="J249" s="350"/>
      <c r="K249" s="340">
        <f t="shared" si="61"/>
        <v>952.25</v>
      </c>
      <c r="L249" s="331">
        <f t="shared" si="62"/>
        <v>0</v>
      </c>
      <c r="M249" s="265" t="s">
        <v>656</v>
      </c>
      <c r="N249" s="336">
        <v>0.16400000000000001</v>
      </c>
      <c r="O249" s="370">
        <v>29</v>
      </c>
      <c r="P249" s="57"/>
      <c r="Q249" s="46"/>
      <c r="R249" s="57"/>
      <c r="S249" s="46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</row>
    <row r="250" spans="1:48" s="9" customFormat="1" ht="19.5" customHeight="1">
      <c r="A250" s="380" t="s">
        <v>1498</v>
      </c>
      <c r="B250" s="261"/>
      <c r="C250" s="353">
        <v>7.1</v>
      </c>
      <c r="D250" s="219">
        <v>8</v>
      </c>
      <c r="E250" s="231"/>
      <c r="F250" s="350">
        <v>1325</v>
      </c>
      <c r="G250" s="222">
        <v>106000</v>
      </c>
      <c r="H250" s="223"/>
      <c r="I250" s="145">
        <f t="shared" si="58"/>
        <v>0.35</v>
      </c>
      <c r="J250" s="350"/>
      <c r="K250" s="340">
        <f t="shared" si="61"/>
        <v>861.25</v>
      </c>
      <c r="L250" s="331">
        <f t="shared" si="62"/>
        <v>0</v>
      </c>
      <c r="M250" s="265" t="s">
        <v>657</v>
      </c>
      <c r="N250" s="336">
        <v>0.193</v>
      </c>
      <c r="O250" s="370">
        <v>24</v>
      </c>
      <c r="P250" s="57"/>
      <c r="Q250" s="46"/>
      <c r="R250" s="57"/>
      <c r="S250" s="46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</row>
    <row r="251" spans="1:48" s="25" customFormat="1" ht="19.5" customHeight="1">
      <c r="A251" s="669" t="s">
        <v>397</v>
      </c>
      <c r="B251" s="670"/>
      <c r="C251" s="670"/>
      <c r="D251" s="670"/>
      <c r="E251" s="670"/>
      <c r="F251" s="670"/>
      <c r="G251" s="670"/>
      <c r="H251" s="670"/>
      <c r="I251" s="670"/>
      <c r="J251" s="670"/>
      <c r="K251" s="670"/>
      <c r="L251" s="670"/>
      <c r="M251" s="670"/>
      <c r="N251" s="137"/>
      <c r="O251" s="377"/>
      <c r="P251" s="48"/>
      <c r="Q251" s="46"/>
      <c r="R251" s="32"/>
      <c r="S251" s="46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</row>
    <row r="252" spans="1:48" s="9" customFormat="1" ht="19.5" customHeight="1">
      <c r="A252" s="380" t="s">
        <v>236</v>
      </c>
      <c r="B252" s="261"/>
      <c r="C252" s="355">
        <v>1.1000000000000001</v>
      </c>
      <c r="D252" s="355">
        <v>1.3</v>
      </c>
      <c r="E252" s="231"/>
      <c r="F252" s="350">
        <v>1197</v>
      </c>
      <c r="G252" s="222">
        <v>95800</v>
      </c>
      <c r="H252" s="223"/>
      <c r="I252" s="145">
        <f t="shared" ref="I252:I273" si="63">$D$3</f>
        <v>0.35</v>
      </c>
      <c r="J252" s="350"/>
      <c r="K252" s="340">
        <f t="shared" ref="K252:K262" si="64">SUM(F252-(F252*I252))</f>
        <v>778.05</v>
      </c>
      <c r="L252" s="331">
        <f t="shared" ref="L252:L258" si="65">H252*K252</f>
        <v>0</v>
      </c>
      <c r="M252" s="256" t="s">
        <v>358</v>
      </c>
      <c r="N252" s="336">
        <v>0.20200000000000001</v>
      </c>
      <c r="O252" s="367">
        <v>24</v>
      </c>
      <c r="P252" s="37"/>
      <c r="Q252" s="46"/>
      <c r="R252" s="37"/>
      <c r="S252" s="46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</row>
    <row r="253" spans="1:48" s="9" customFormat="1" ht="19.5" customHeight="1">
      <c r="A253" s="380" t="s">
        <v>307</v>
      </c>
      <c r="B253" s="261"/>
      <c r="C253" s="353">
        <v>2.2000000000000002</v>
      </c>
      <c r="D253" s="353">
        <v>2.8</v>
      </c>
      <c r="E253" s="231"/>
      <c r="F253" s="350">
        <v>1262</v>
      </c>
      <c r="G253" s="222">
        <v>101000</v>
      </c>
      <c r="H253" s="223"/>
      <c r="I253" s="145">
        <f t="shared" si="63"/>
        <v>0.35</v>
      </c>
      <c r="J253" s="350"/>
      <c r="K253" s="340">
        <f t="shared" si="64"/>
        <v>820.3</v>
      </c>
      <c r="L253" s="331">
        <f>H253*K253</f>
        <v>0</v>
      </c>
      <c r="M253" s="256" t="s">
        <v>358</v>
      </c>
      <c r="N253" s="336">
        <v>0.20200000000000001</v>
      </c>
      <c r="O253" s="367">
        <v>24</v>
      </c>
      <c r="P253" s="37"/>
      <c r="Q253" s="46"/>
      <c r="R253" s="37"/>
      <c r="S253" s="46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</row>
    <row r="254" spans="1:48" s="9" customFormat="1" ht="19.5" customHeight="1">
      <c r="A254" s="380" t="s">
        <v>308</v>
      </c>
      <c r="B254" s="261"/>
      <c r="C254" s="353">
        <v>2.8</v>
      </c>
      <c r="D254" s="353">
        <v>3.2</v>
      </c>
      <c r="E254" s="231"/>
      <c r="F254" s="350">
        <v>1287</v>
      </c>
      <c r="G254" s="222">
        <v>103000</v>
      </c>
      <c r="H254" s="223"/>
      <c r="I254" s="145">
        <f t="shared" si="63"/>
        <v>0.35</v>
      </c>
      <c r="J254" s="350"/>
      <c r="K254" s="340">
        <f t="shared" si="64"/>
        <v>836.55</v>
      </c>
      <c r="L254" s="331">
        <f t="shared" si="65"/>
        <v>0</v>
      </c>
      <c r="M254" s="256" t="s">
        <v>358</v>
      </c>
      <c r="N254" s="336">
        <v>0.20200000000000001</v>
      </c>
      <c r="O254" s="367">
        <v>24</v>
      </c>
      <c r="P254" s="37"/>
      <c r="Q254" s="46"/>
      <c r="R254" s="37"/>
      <c r="S254" s="46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</row>
    <row r="255" spans="1:48" s="9" customFormat="1" ht="19.5" customHeight="1">
      <c r="A255" s="380" t="s">
        <v>309</v>
      </c>
      <c r="B255" s="261"/>
      <c r="C255" s="353">
        <v>3.6</v>
      </c>
      <c r="D255" s="219">
        <v>4</v>
      </c>
      <c r="E255" s="231"/>
      <c r="F255" s="350">
        <v>1344</v>
      </c>
      <c r="G255" s="222">
        <v>107600</v>
      </c>
      <c r="H255" s="223"/>
      <c r="I255" s="145">
        <f t="shared" si="63"/>
        <v>0.35</v>
      </c>
      <c r="J255" s="350"/>
      <c r="K255" s="340">
        <f t="shared" si="64"/>
        <v>873.6</v>
      </c>
      <c r="L255" s="331">
        <f t="shared" si="65"/>
        <v>0</v>
      </c>
      <c r="M255" s="256" t="s">
        <v>358</v>
      </c>
      <c r="N255" s="336">
        <v>0.20200000000000001</v>
      </c>
      <c r="O255" s="367">
        <v>26</v>
      </c>
      <c r="P255" s="37"/>
      <c r="Q255" s="46"/>
      <c r="R255" s="37"/>
      <c r="S255" s="46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</row>
    <row r="256" spans="1:48" ht="19.5" customHeight="1">
      <c r="A256" s="380" t="s">
        <v>310</v>
      </c>
      <c r="B256" s="261"/>
      <c r="C256" s="353">
        <v>4.5</v>
      </c>
      <c r="D256" s="219">
        <v>5</v>
      </c>
      <c r="E256" s="231"/>
      <c r="F256" s="350">
        <v>1401</v>
      </c>
      <c r="G256" s="222">
        <v>112100</v>
      </c>
      <c r="H256" s="223"/>
      <c r="I256" s="145">
        <f t="shared" si="63"/>
        <v>0.35</v>
      </c>
      <c r="J256" s="350"/>
      <c r="K256" s="340">
        <f t="shared" si="64"/>
        <v>910.65000000000009</v>
      </c>
      <c r="L256" s="331">
        <f t="shared" si="65"/>
        <v>0</v>
      </c>
      <c r="M256" s="256" t="s">
        <v>358</v>
      </c>
      <c r="N256" s="336">
        <v>0.20200000000000001</v>
      </c>
      <c r="O256" s="367">
        <v>26</v>
      </c>
      <c r="Q256" s="46"/>
      <c r="S256" s="46"/>
    </row>
    <row r="257" spans="1:48" ht="19.5" customHeight="1">
      <c r="A257" s="380" t="s">
        <v>311</v>
      </c>
      <c r="B257" s="261"/>
      <c r="C257" s="353">
        <v>5.6</v>
      </c>
      <c r="D257" s="353">
        <v>6.3</v>
      </c>
      <c r="E257" s="231"/>
      <c r="F257" s="350">
        <v>1569</v>
      </c>
      <c r="G257" s="222">
        <v>125600</v>
      </c>
      <c r="H257" s="223"/>
      <c r="I257" s="145">
        <f t="shared" si="63"/>
        <v>0.35</v>
      </c>
      <c r="J257" s="350"/>
      <c r="K257" s="340">
        <f t="shared" si="64"/>
        <v>1019.85</v>
      </c>
      <c r="L257" s="331">
        <f t="shared" si="65"/>
        <v>0</v>
      </c>
      <c r="M257" s="338" t="s">
        <v>552</v>
      </c>
      <c r="N257" s="336">
        <v>0.24399999999999999</v>
      </c>
      <c r="O257" s="367">
        <v>30</v>
      </c>
      <c r="Q257" s="46"/>
      <c r="S257" s="46"/>
    </row>
    <row r="258" spans="1:48" ht="19.5" customHeight="1">
      <c r="A258" s="380" t="s">
        <v>312</v>
      </c>
      <c r="B258" s="261"/>
      <c r="C258" s="353">
        <v>7.1</v>
      </c>
      <c r="D258" s="219">
        <v>8</v>
      </c>
      <c r="E258" s="231"/>
      <c r="F258" s="350">
        <v>1766</v>
      </c>
      <c r="G258" s="222">
        <v>141300</v>
      </c>
      <c r="H258" s="223"/>
      <c r="I258" s="145">
        <f t="shared" si="63"/>
        <v>0.35</v>
      </c>
      <c r="J258" s="350"/>
      <c r="K258" s="340">
        <f t="shared" si="64"/>
        <v>1147.9000000000001</v>
      </c>
      <c r="L258" s="331">
        <f t="shared" si="65"/>
        <v>0</v>
      </c>
      <c r="M258" s="338" t="s">
        <v>553</v>
      </c>
      <c r="N258" s="336">
        <v>0.28499999999999998</v>
      </c>
      <c r="O258" s="367">
        <v>34</v>
      </c>
      <c r="Q258" s="46"/>
      <c r="S258" s="46"/>
    </row>
    <row r="259" spans="1:48" ht="19.5" customHeight="1">
      <c r="A259" s="380" t="s">
        <v>313</v>
      </c>
      <c r="B259" s="261"/>
      <c r="C259" s="353">
        <v>7.1</v>
      </c>
      <c r="D259" s="219">
        <v>8</v>
      </c>
      <c r="E259" s="231"/>
      <c r="F259" s="350">
        <v>1625</v>
      </c>
      <c r="G259" s="222">
        <v>130000</v>
      </c>
      <c r="H259" s="223"/>
      <c r="I259" s="145">
        <f t="shared" si="63"/>
        <v>0.35</v>
      </c>
      <c r="J259" s="350"/>
      <c r="K259" s="340">
        <f t="shared" si="64"/>
        <v>1056.25</v>
      </c>
      <c r="L259" s="331">
        <f>H259*K259</f>
        <v>0</v>
      </c>
      <c r="M259" s="256" t="s">
        <v>359</v>
      </c>
      <c r="N259" s="336">
        <v>0.28499999999999998</v>
      </c>
      <c r="O259" s="370">
        <v>44</v>
      </c>
      <c r="Q259" s="46"/>
      <c r="S259" s="46"/>
    </row>
    <row r="260" spans="1:48" ht="19.5" customHeight="1">
      <c r="A260" s="380" t="s">
        <v>314</v>
      </c>
      <c r="B260" s="261"/>
      <c r="C260" s="219">
        <v>9</v>
      </c>
      <c r="D260" s="219">
        <v>10</v>
      </c>
      <c r="E260" s="231"/>
      <c r="F260" s="350">
        <v>1881</v>
      </c>
      <c r="G260" s="222">
        <v>150500</v>
      </c>
      <c r="H260" s="223"/>
      <c r="I260" s="145">
        <f t="shared" si="63"/>
        <v>0.35</v>
      </c>
      <c r="J260" s="350"/>
      <c r="K260" s="340">
        <f t="shared" si="64"/>
        <v>1222.6500000000001</v>
      </c>
      <c r="L260" s="331">
        <f>H260*K260</f>
        <v>0</v>
      </c>
      <c r="M260" s="256" t="s">
        <v>359</v>
      </c>
      <c r="N260" s="336">
        <v>0.308</v>
      </c>
      <c r="O260" s="370">
        <v>48</v>
      </c>
      <c r="Q260" s="46"/>
      <c r="S260" s="46"/>
    </row>
    <row r="261" spans="1:48" ht="19.5" customHeight="1">
      <c r="A261" s="380" t="s">
        <v>315</v>
      </c>
      <c r="B261" s="261"/>
      <c r="C261" s="353">
        <v>11.2</v>
      </c>
      <c r="D261" s="353">
        <v>12.5</v>
      </c>
      <c r="E261" s="231"/>
      <c r="F261" s="350">
        <v>2106</v>
      </c>
      <c r="G261" s="222">
        <v>168500</v>
      </c>
      <c r="H261" s="223"/>
      <c r="I261" s="145">
        <f t="shared" si="63"/>
        <v>0.35</v>
      </c>
      <c r="J261" s="350"/>
      <c r="K261" s="340">
        <f t="shared" si="64"/>
        <v>1368.9</v>
      </c>
      <c r="L261" s="331">
        <f>H261*K261</f>
        <v>0</v>
      </c>
      <c r="M261" s="256" t="s">
        <v>359</v>
      </c>
      <c r="N261" s="336">
        <v>0.308</v>
      </c>
      <c r="O261" s="370">
        <v>48</v>
      </c>
      <c r="Q261" s="46"/>
      <c r="S261" s="46"/>
    </row>
    <row r="262" spans="1:48" ht="19.5" customHeight="1">
      <c r="A262" s="380" t="s">
        <v>316</v>
      </c>
      <c r="B262" s="261"/>
      <c r="C262" s="353">
        <v>12.5</v>
      </c>
      <c r="D262" s="219">
        <v>14</v>
      </c>
      <c r="E262" s="231"/>
      <c r="F262" s="350">
        <v>2273</v>
      </c>
      <c r="G262" s="222">
        <v>181900</v>
      </c>
      <c r="H262" s="223"/>
      <c r="I262" s="145">
        <f t="shared" si="63"/>
        <v>0.35</v>
      </c>
      <c r="J262" s="350"/>
      <c r="K262" s="340">
        <f t="shared" si="64"/>
        <v>1477.45</v>
      </c>
      <c r="L262" s="331">
        <f>H262*K262</f>
        <v>0</v>
      </c>
      <c r="M262" s="256" t="s">
        <v>359</v>
      </c>
      <c r="N262" s="336">
        <v>0.308</v>
      </c>
      <c r="O262" s="370">
        <v>48</v>
      </c>
      <c r="Q262" s="46"/>
      <c r="S262" s="46"/>
    </row>
    <row r="263" spans="1:48" s="9" customFormat="1" ht="19.5" customHeight="1">
      <c r="A263" s="380" t="s">
        <v>1499</v>
      </c>
      <c r="B263" s="261"/>
      <c r="C263" s="355">
        <v>1.1000000000000001</v>
      </c>
      <c r="D263" s="355">
        <v>1.3</v>
      </c>
      <c r="E263" s="231"/>
      <c r="F263" s="350">
        <v>1197</v>
      </c>
      <c r="G263" s="222">
        <v>95800</v>
      </c>
      <c r="H263" s="223"/>
      <c r="I263" s="145">
        <f t="shared" si="63"/>
        <v>0.35</v>
      </c>
      <c r="J263" s="350"/>
      <c r="K263" s="340">
        <f t="shared" ref="K263:K273" si="66">SUM(F263-(F263*I263))</f>
        <v>778.05</v>
      </c>
      <c r="L263" s="331">
        <f t="shared" ref="L263" si="67">H263*K263</f>
        <v>0</v>
      </c>
      <c r="M263" s="256" t="s">
        <v>358</v>
      </c>
      <c r="N263" s="336">
        <v>0.20200000000000001</v>
      </c>
      <c r="O263" s="367">
        <v>24</v>
      </c>
      <c r="P263" s="57"/>
      <c r="Q263" s="46"/>
      <c r="R263" s="57"/>
      <c r="S263" s="46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</row>
    <row r="264" spans="1:48" s="9" customFormat="1" ht="19.5" customHeight="1">
      <c r="A264" s="380" t="s">
        <v>1500</v>
      </c>
      <c r="B264" s="261"/>
      <c r="C264" s="353">
        <v>2.2000000000000002</v>
      </c>
      <c r="D264" s="353">
        <v>2.8</v>
      </c>
      <c r="E264" s="231"/>
      <c r="F264" s="350">
        <v>1262</v>
      </c>
      <c r="G264" s="222">
        <v>101000</v>
      </c>
      <c r="H264" s="223"/>
      <c r="I264" s="145">
        <f t="shared" si="63"/>
        <v>0.35</v>
      </c>
      <c r="J264" s="350"/>
      <c r="K264" s="340">
        <f t="shared" si="66"/>
        <v>820.3</v>
      </c>
      <c r="L264" s="331">
        <f>H264*K264</f>
        <v>0</v>
      </c>
      <c r="M264" s="256" t="s">
        <v>358</v>
      </c>
      <c r="N264" s="336">
        <v>0.20200000000000001</v>
      </c>
      <c r="O264" s="367">
        <v>24</v>
      </c>
      <c r="P264" s="57"/>
      <c r="Q264" s="46"/>
      <c r="R264" s="57"/>
      <c r="S264" s="46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</row>
    <row r="265" spans="1:48" s="9" customFormat="1" ht="19.5" customHeight="1">
      <c r="A265" s="380" t="s">
        <v>1501</v>
      </c>
      <c r="B265" s="261"/>
      <c r="C265" s="353">
        <v>2.8</v>
      </c>
      <c r="D265" s="353">
        <v>3.2</v>
      </c>
      <c r="E265" s="231"/>
      <c r="F265" s="350">
        <v>1287</v>
      </c>
      <c r="G265" s="222">
        <v>103000</v>
      </c>
      <c r="H265" s="223"/>
      <c r="I265" s="145">
        <f t="shared" si="63"/>
        <v>0.35</v>
      </c>
      <c r="J265" s="350"/>
      <c r="K265" s="340">
        <f t="shared" si="66"/>
        <v>836.55</v>
      </c>
      <c r="L265" s="331">
        <f t="shared" ref="L265:L269" si="68">H265*K265</f>
        <v>0</v>
      </c>
      <c r="M265" s="256" t="s">
        <v>358</v>
      </c>
      <c r="N265" s="336">
        <v>0.20200000000000001</v>
      </c>
      <c r="O265" s="367">
        <v>24</v>
      </c>
      <c r="P265" s="57"/>
      <c r="Q265" s="46"/>
      <c r="R265" s="57"/>
      <c r="S265" s="46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</row>
    <row r="266" spans="1:48" s="9" customFormat="1" ht="19.5" customHeight="1">
      <c r="A266" s="380" t="s">
        <v>1502</v>
      </c>
      <c r="B266" s="261"/>
      <c r="C266" s="353">
        <v>3.6</v>
      </c>
      <c r="D266" s="219">
        <v>4</v>
      </c>
      <c r="E266" s="231"/>
      <c r="F266" s="350">
        <v>1344</v>
      </c>
      <c r="G266" s="222">
        <v>107600</v>
      </c>
      <c r="H266" s="223"/>
      <c r="I266" s="145">
        <f t="shared" si="63"/>
        <v>0.35</v>
      </c>
      <c r="J266" s="350"/>
      <c r="K266" s="340">
        <f t="shared" si="66"/>
        <v>873.6</v>
      </c>
      <c r="L266" s="331">
        <f t="shared" si="68"/>
        <v>0</v>
      </c>
      <c r="M266" s="256" t="s">
        <v>358</v>
      </c>
      <c r="N266" s="336">
        <v>0.20200000000000001</v>
      </c>
      <c r="O266" s="367">
        <v>26</v>
      </c>
      <c r="P266" s="57"/>
      <c r="Q266" s="46"/>
      <c r="R266" s="57"/>
      <c r="S266" s="46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</row>
    <row r="267" spans="1:48" ht="19.5" customHeight="1">
      <c r="A267" s="380" t="s">
        <v>1503</v>
      </c>
      <c r="B267" s="261"/>
      <c r="C267" s="353">
        <v>4.5</v>
      </c>
      <c r="D267" s="219">
        <v>5</v>
      </c>
      <c r="E267" s="231"/>
      <c r="F267" s="350">
        <v>1401</v>
      </c>
      <c r="G267" s="222">
        <v>112100</v>
      </c>
      <c r="H267" s="223"/>
      <c r="I267" s="145">
        <f t="shared" si="63"/>
        <v>0.35</v>
      </c>
      <c r="J267" s="350"/>
      <c r="K267" s="340">
        <f t="shared" si="66"/>
        <v>910.65000000000009</v>
      </c>
      <c r="L267" s="331">
        <f t="shared" si="68"/>
        <v>0</v>
      </c>
      <c r="M267" s="256" t="s">
        <v>358</v>
      </c>
      <c r="N267" s="336">
        <v>0.20200000000000001</v>
      </c>
      <c r="O267" s="367">
        <v>26</v>
      </c>
      <c r="P267" s="92"/>
      <c r="Q267" s="46"/>
      <c r="R267" s="92"/>
      <c r="S267" s="46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</row>
    <row r="268" spans="1:48" ht="19.5" customHeight="1">
      <c r="A268" s="380" t="s">
        <v>1504</v>
      </c>
      <c r="B268" s="261"/>
      <c r="C268" s="353">
        <v>5.6</v>
      </c>
      <c r="D268" s="353">
        <v>6.3</v>
      </c>
      <c r="E268" s="231"/>
      <c r="F268" s="350">
        <v>1569</v>
      </c>
      <c r="G268" s="222">
        <v>125600</v>
      </c>
      <c r="H268" s="223"/>
      <c r="I268" s="145">
        <f t="shared" si="63"/>
        <v>0.35</v>
      </c>
      <c r="J268" s="350"/>
      <c r="K268" s="340">
        <f t="shared" si="66"/>
        <v>1019.85</v>
      </c>
      <c r="L268" s="331">
        <f t="shared" si="68"/>
        <v>0</v>
      </c>
      <c r="M268" s="338" t="s">
        <v>552</v>
      </c>
      <c r="N268" s="336">
        <v>0.24399999999999999</v>
      </c>
      <c r="O268" s="367">
        <v>30</v>
      </c>
      <c r="P268" s="92"/>
      <c r="Q268" s="46"/>
      <c r="R268" s="92"/>
      <c r="S268" s="46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</row>
    <row r="269" spans="1:48" ht="19.5" customHeight="1">
      <c r="A269" s="380" t="s">
        <v>1505</v>
      </c>
      <c r="B269" s="261"/>
      <c r="C269" s="353">
        <v>7.1</v>
      </c>
      <c r="D269" s="219">
        <v>8</v>
      </c>
      <c r="E269" s="231"/>
      <c r="F269" s="350">
        <v>1766</v>
      </c>
      <c r="G269" s="222">
        <v>141300</v>
      </c>
      <c r="H269" s="223"/>
      <c r="I269" s="145">
        <f t="shared" si="63"/>
        <v>0.35</v>
      </c>
      <c r="J269" s="350"/>
      <c r="K269" s="340">
        <f t="shared" si="66"/>
        <v>1147.9000000000001</v>
      </c>
      <c r="L269" s="331">
        <f t="shared" si="68"/>
        <v>0</v>
      </c>
      <c r="M269" s="338" t="s">
        <v>553</v>
      </c>
      <c r="N269" s="336">
        <v>0.28499999999999998</v>
      </c>
      <c r="O269" s="367">
        <v>34</v>
      </c>
      <c r="P269" s="92"/>
      <c r="Q269" s="46"/>
      <c r="R269" s="92"/>
      <c r="S269" s="46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</row>
    <row r="270" spans="1:48" ht="19.5" customHeight="1">
      <c r="A270" s="380" t="s">
        <v>1506</v>
      </c>
      <c r="B270" s="261"/>
      <c r="C270" s="353">
        <v>7.1</v>
      </c>
      <c r="D270" s="219">
        <v>8</v>
      </c>
      <c r="E270" s="231"/>
      <c r="F270" s="350">
        <v>1625</v>
      </c>
      <c r="G270" s="222">
        <v>130000</v>
      </c>
      <c r="H270" s="223"/>
      <c r="I270" s="145">
        <f t="shared" si="63"/>
        <v>0.35</v>
      </c>
      <c r="J270" s="350"/>
      <c r="K270" s="340">
        <f t="shared" si="66"/>
        <v>1056.25</v>
      </c>
      <c r="L270" s="331">
        <f>H270*K270</f>
        <v>0</v>
      </c>
      <c r="M270" s="256" t="s">
        <v>359</v>
      </c>
      <c r="N270" s="336">
        <v>0.28499999999999998</v>
      </c>
      <c r="O270" s="370">
        <v>44</v>
      </c>
      <c r="P270" s="92"/>
      <c r="Q270" s="46"/>
      <c r="R270" s="92"/>
      <c r="S270" s="46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</row>
    <row r="271" spans="1:48" ht="19.5" customHeight="1">
      <c r="A271" s="380" t="s">
        <v>1507</v>
      </c>
      <c r="B271" s="261"/>
      <c r="C271" s="219">
        <v>9</v>
      </c>
      <c r="D271" s="219">
        <v>10</v>
      </c>
      <c r="E271" s="231"/>
      <c r="F271" s="350">
        <v>1881</v>
      </c>
      <c r="G271" s="222">
        <v>150500</v>
      </c>
      <c r="H271" s="223"/>
      <c r="I271" s="145">
        <f t="shared" si="63"/>
        <v>0.35</v>
      </c>
      <c r="J271" s="350"/>
      <c r="K271" s="340">
        <f t="shared" si="66"/>
        <v>1222.6500000000001</v>
      </c>
      <c r="L271" s="331">
        <f>H271*K271</f>
        <v>0</v>
      </c>
      <c r="M271" s="256" t="s">
        <v>359</v>
      </c>
      <c r="N271" s="336">
        <v>0.308</v>
      </c>
      <c r="O271" s="370">
        <v>48</v>
      </c>
      <c r="P271" s="92"/>
      <c r="Q271" s="46"/>
      <c r="R271" s="92"/>
      <c r="S271" s="46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</row>
    <row r="272" spans="1:48" ht="19.5" customHeight="1">
      <c r="A272" s="380" t="s">
        <v>1508</v>
      </c>
      <c r="B272" s="261"/>
      <c r="C272" s="353">
        <v>11.2</v>
      </c>
      <c r="D272" s="353">
        <v>12.5</v>
      </c>
      <c r="E272" s="231"/>
      <c r="F272" s="350">
        <v>2106</v>
      </c>
      <c r="G272" s="222">
        <v>168500</v>
      </c>
      <c r="H272" s="223"/>
      <c r="I272" s="145">
        <f t="shared" si="63"/>
        <v>0.35</v>
      </c>
      <c r="J272" s="350"/>
      <c r="K272" s="340">
        <f t="shared" si="66"/>
        <v>1368.9</v>
      </c>
      <c r="L272" s="331">
        <f>H272*K272</f>
        <v>0</v>
      </c>
      <c r="M272" s="256" t="s">
        <v>359</v>
      </c>
      <c r="N272" s="336">
        <v>0.308</v>
      </c>
      <c r="O272" s="370">
        <v>48</v>
      </c>
      <c r="P272" s="92"/>
      <c r="Q272" s="46"/>
      <c r="R272" s="92"/>
      <c r="S272" s="46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</row>
    <row r="273" spans="1:48" ht="19.5" customHeight="1">
      <c r="A273" s="380" t="s">
        <v>1509</v>
      </c>
      <c r="B273" s="261"/>
      <c r="C273" s="353">
        <v>12.5</v>
      </c>
      <c r="D273" s="219">
        <v>14</v>
      </c>
      <c r="E273" s="231"/>
      <c r="F273" s="350">
        <v>2273</v>
      </c>
      <c r="G273" s="222">
        <v>181900</v>
      </c>
      <c r="H273" s="223"/>
      <c r="I273" s="145">
        <f t="shared" si="63"/>
        <v>0.35</v>
      </c>
      <c r="J273" s="350"/>
      <c r="K273" s="340">
        <f t="shared" si="66"/>
        <v>1477.45</v>
      </c>
      <c r="L273" s="331">
        <f>H273*K273</f>
        <v>0</v>
      </c>
      <c r="M273" s="256" t="s">
        <v>359</v>
      </c>
      <c r="N273" s="336">
        <v>0.308</v>
      </c>
      <c r="O273" s="370">
        <v>48</v>
      </c>
      <c r="P273" s="92"/>
      <c r="Q273" s="46"/>
      <c r="R273" s="92"/>
      <c r="S273" s="46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</row>
    <row r="274" spans="1:48" s="25" customFormat="1" ht="19.5" customHeight="1">
      <c r="A274" s="706" t="s">
        <v>398</v>
      </c>
      <c r="B274" s="707"/>
      <c r="C274" s="707"/>
      <c r="D274" s="707"/>
      <c r="E274" s="707"/>
      <c r="F274" s="707"/>
      <c r="G274" s="707"/>
      <c r="H274" s="707"/>
      <c r="I274" s="707"/>
      <c r="J274" s="707"/>
      <c r="K274" s="707"/>
      <c r="L274" s="707"/>
      <c r="M274" s="707"/>
      <c r="N274" s="149"/>
      <c r="O274" s="399"/>
      <c r="P274" s="48"/>
      <c r="Q274" s="46"/>
      <c r="R274" s="32"/>
      <c r="S274" s="46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</row>
    <row r="275" spans="1:48" ht="18.649999999999999" customHeight="1">
      <c r="A275" s="382" t="s">
        <v>1510</v>
      </c>
      <c r="B275" s="261"/>
      <c r="C275" s="353">
        <v>11.2</v>
      </c>
      <c r="D275" s="353">
        <v>12.5</v>
      </c>
      <c r="E275" s="231"/>
      <c r="F275" s="350">
        <v>2797</v>
      </c>
      <c r="G275" s="222">
        <v>223800</v>
      </c>
      <c r="H275" s="223"/>
      <c r="I275" s="145">
        <f t="shared" ref="I275:I289" si="69">$D$3</f>
        <v>0.35</v>
      </c>
      <c r="J275" s="350"/>
      <c r="K275" s="340">
        <f t="shared" ref="K275:K283" si="70">SUM(F275-(F275*I275))</f>
        <v>1818.0500000000002</v>
      </c>
      <c r="L275" s="331">
        <f t="shared" ref="L275:L283" si="71">H275*K275</f>
        <v>0</v>
      </c>
      <c r="M275" s="256" t="s">
        <v>360</v>
      </c>
      <c r="N275" s="336">
        <v>0.36199999999999999</v>
      </c>
      <c r="O275" s="370">
        <v>45</v>
      </c>
      <c r="P275" s="55"/>
      <c r="Q275" s="46"/>
      <c r="R275" s="55"/>
      <c r="S275" s="46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</row>
    <row r="276" spans="1:48" ht="18.649999999999999" customHeight="1">
      <c r="A276" s="380" t="s">
        <v>572</v>
      </c>
      <c r="B276" s="261"/>
      <c r="C276" s="353">
        <v>11.2</v>
      </c>
      <c r="D276" s="353">
        <v>12.5</v>
      </c>
      <c r="E276" s="231"/>
      <c r="F276" s="350">
        <v>2797</v>
      </c>
      <c r="G276" s="222">
        <v>223800</v>
      </c>
      <c r="H276" s="223"/>
      <c r="I276" s="145">
        <f t="shared" si="69"/>
        <v>0.35</v>
      </c>
      <c r="J276" s="350"/>
      <c r="K276" s="340">
        <f t="shared" si="70"/>
        <v>1818.0500000000002</v>
      </c>
      <c r="L276" s="331">
        <f t="shared" si="71"/>
        <v>0</v>
      </c>
      <c r="M276" s="256" t="s">
        <v>360</v>
      </c>
      <c r="N276" s="336">
        <v>0.36199999999999999</v>
      </c>
      <c r="O276" s="370">
        <v>49</v>
      </c>
      <c r="P276" s="55"/>
      <c r="Q276" s="46"/>
      <c r="R276" s="55"/>
      <c r="S276" s="46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</row>
    <row r="277" spans="1:48" ht="18.649999999999999" customHeight="1">
      <c r="A277" s="380" t="s">
        <v>573</v>
      </c>
      <c r="B277" s="261"/>
      <c r="C277" s="353">
        <v>12.5</v>
      </c>
      <c r="D277" s="219">
        <v>14</v>
      </c>
      <c r="E277" s="231"/>
      <c r="F277" s="350">
        <v>2944</v>
      </c>
      <c r="G277" s="222">
        <v>235600</v>
      </c>
      <c r="H277" s="223"/>
      <c r="I277" s="145">
        <f t="shared" si="69"/>
        <v>0.35</v>
      </c>
      <c r="J277" s="350"/>
      <c r="K277" s="340">
        <f t="shared" si="70"/>
        <v>1913.6000000000001</v>
      </c>
      <c r="L277" s="331">
        <f t="shared" si="71"/>
        <v>0</v>
      </c>
      <c r="M277" s="256" t="s">
        <v>360</v>
      </c>
      <c r="N277" s="336">
        <v>0.36199999999999999</v>
      </c>
      <c r="O277" s="370">
        <v>51</v>
      </c>
      <c r="Q277" s="46"/>
      <c r="S277" s="46"/>
    </row>
    <row r="278" spans="1:48" ht="18.649999999999999" customHeight="1">
      <c r="A278" s="380" t="s">
        <v>574</v>
      </c>
      <c r="B278" s="261"/>
      <c r="C278" s="219">
        <v>18</v>
      </c>
      <c r="D278" s="219">
        <v>20</v>
      </c>
      <c r="E278" s="231"/>
      <c r="F278" s="350">
        <v>3227</v>
      </c>
      <c r="G278" s="222">
        <v>258200</v>
      </c>
      <c r="H278" s="223"/>
      <c r="I278" s="145">
        <f t="shared" si="69"/>
        <v>0.35</v>
      </c>
      <c r="J278" s="350"/>
      <c r="K278" s="340">
        <f t="shared" si="70"/>
        <v>2097.5500000000002</v>
      </c>
      <c r="L278" s="331">
        <f t="shared" si="71"/>
        <v>0</v>
      </c>
      <c r="M278" s="256" t="s">
        <v>360</v>
      </c>
      <c r="N278" s="336">
        <v>0.36199999999999999</v>
      </c>
      <c r="O278" s="370">
        <v>51</v>
      </c>
      <c r="Q278" s="46"/>
      <c r="S278" s="46"/>
    </row>
    <row r="279" spans="1:48" ht="18.649999999999999" customHeight="1">
      <c r="A279" s="382" t="s">
        <v>1511</v>
      </c>
      <c r="B279" s="261"/>
      <c r="C279" s="353">
        <v>22.4</v>
      </c>
      <c r="D279" s="219">
        <v>25</v>
      </c>
      <c r="E279" s="231"/>
      <c r="F279" s="350">
        <v>3682</v>
      </c>
      <c r="G279" s="222">
        <v>294600</v>
      </c>
      <c r="H279" s="223"/>
      <c r="I279" s="145">
        <f t="shared" si="69"/>
        <v>0.35</v>
      </c>
      <c r="J279" s="350"/>
      <c r="K279" s="340">
        <f t="shared" si="70"/>
        <v>2393.3000000000002</v>
      </c>
      <c r="L279" s="331">
        <f t="shared" si="71"/>
        <v>0</v>
      </c>
      <c r="M279" s="256" t="s">
        <v>361</v>
      </c>
      <c r="N279" s="336">
        <v>0.79400000000000004</v>
      </c>
      <c r="O279" s="367">
        <v>100</v>
      </c>
      <c r="P279" s="55"/>
      <c r="Q279" s="46"/>
      <c r="R279" s="55"/>
      <c r="S279" s="46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</row>
    <row r="280" spans="1:48" ht="18.649999999999999" customHeight="1">
      <c r="A280" s="380" t="s">
        <v>575</v>
      </c>
      <c r="B280" s="261"/>
      <c r="C280" s="353">
        <v>22.4</v>
      </c>
      <c r="D280" s="219">
        <v>25</v>
      </c>
      <c r="E280" s="231"/>
      <c r="F280" s="350">
        <v>3506</v>
      </c>
      <c r="G280" s="222">
        <v>280500</v>
      </c>
      <c r="H280" s="223"/>
      <c r="I280" s="145">
        <f t="shared" si="69"/>
        <v>0.35</v>
      </c>
      <c r="J280" s="350"/>
      <c r="K280" s="340">
        <f t="shared" si="70"/>
        <v>2278.9</v>
      </c>
      <c r="L280" s="331">
        <f t="shared" si="71"/>
        <v>0</v>
      </c>
      <c r="M280" s="256" t="s">
        <v>361</v>
      </c>
      <c r="N280" s="336">
        <v>0.79400000000000004</v>
      </c>
      <c r="O280" s="367">
        <v>98</v>
      </c>
      <c r="P280" s="55"/>
      <c r="Q280" s="46"/>
      <c r="R280" s="55"/>
      <c r="S280" s="46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</row>
    <row r="281" spans="1:48" ht="18.649999999999999" customHeight="1">
      <c r="A281" s="380" t="s">
        <v>576</v>
      </c>
      <c r="B281" s="261"/>
      <c r="C281" s="219">
        <v>25</v>
      </c>
      <c r="D281" s="219">
        <v>28</v>
      </c>
      <c r="E281" s="231"/>
      <c r="F281" s="350">
        <v>3789</v>
      </c>
      <c r="G281" s="222">
        <v>303200</v>
      </c>
      <c r="H281" s="223"/>
      <c r="I281" s="145">
        <f t="shared" si="69"/>
        <v>0.35</v>
      </c>
      <c r="J281" s="350"/>
      <c r="K281" s="340">
        <f t="shared" si="70"/>
        <v>2462.8500000000004</v>
      </c>
      <c r="L281" s="331">
        <f t="shared" si="71"/>
        <v>0</v>
      </c>
      <c r="M281" s="256" t="s">
        <v>361</v>
      </c>
      <c r="N281" s="336">
        <v>0.79400000000000004</v>
      </c>
      <c r="O281" s="367">
        <v>101</v>
      </c>
      <c r="P281" s="55"/>
      <c r="Q281" s="46"/>
      <c r="R281" s="55"/>
      <c r="S281" s="46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</row>
    <row r="282" spans="1:48" ht="18.649999999999999" customHeight="1">
      <c r="A282" s="382" t="s">
        <v>1512</v>
      </c>
      <c r="B282" s="261"/>
      <c r="C282" s="219">
        <v>28</v>
      </c>
      <c r="D282" s="219">
        <v>31.2</v>
      </c>
      <c r="E282" s="231"/>
      <c r="F282" s="350">
        <v>4163</v>
      </c>
      <c r="G282" s="222">
        <v>333100</v>
      </c>
      <c r="H282" s="223"/>
      <c r="I282" s="145">
        <f t="shared" si="69"/>
        <v>0.35</v>
      </c>
      <c r="J282" s="350"/>
      <c r="K282" s="340">
        <f t="shared" si="70"/>
        <v>2705.95</v>
      </c>
      <c r="L282" s="331">
        <f>H282*K282</f>
        <v>0</v>
      </c>
      <c r="M282" s="256" t="s">
        <v>361</v>
      </c>
      <c r="N282" s="336">
        <v>0.79400000000000004</v>
      </c>
      <c r="O282" s="367">
        <v>100</v>
      </c>
      <c r="P282" s="92"/>
      <c r="Q282" s="46"/>
      <c r="R282" s="92"/>
      <c r="S282" s="46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</row>
    <row r="283" spans="1:48" ht="18.649999999999999" customHeight="1">
      <c r="A283" s="382" t="s">
        <v>1513</v>
      </c>
      <c r="B283" s="261"/>
      <c r="C283" s="219">
        <v>25</v>
      </c>
      <c r="D283" s="219">
        <v>28</v>
      </c>
      <c r="E283" s="231"/>
      <c r="F283" s="350">
        <v>3979</v>
      </c>
      <c r="G283" s="222">
        <v>318400</v>
      </c>
      <c r="H283" s="223"/>
      <c r="I283" s="145">
        <f t="shared" si="69"/>
        <v>0.35</v>
      </c>
      <c r="J283" s="350"/>
      <c r="K283" s="340">
        <f t="shared" si="70"/>
        <v>2586.3500000000004</v>
      </c>
      <c r="L283" s="331">
        <f t="shared" si="71"/>
        <v>0</v>
      </c>
      <c r="M283" s="256" t="s">
        <v>361</v>
      </c>
      <c r="N283" s="336">
        <v>0.79400000000000004</v>
      </c>
      <c r="O283" s="367">
        <v>100</v>
      </c>
      <c r="P283" s="55"/>
      <c r="Q283" s="46"/>
      <c r="R283" s="55"/>
      <c r="S283" s="46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</row>
    <row r="284" spans="1:48" ht="18.649999999999999" customHeight="1">
      <c r="A284" s="380" t="s">
        <v>1514</v>
      </c>
      <c r="B284" s="261"/>
      <c r="C284" s="353">
        <v>12.5</v>
      </c>
      <c r="D284" s="219">
        <v>14</v>
      </c>
      <c r="E284" s="231"/>
      <c r="F284" s="350">
        <v>2944</v>
      </c>
      <c r="G284" s="222">
        <v>235600</v>
      </c>
      <c r="H284" s="223"/>
      <c r="I284" s="145">
        <f t="shared" si="69"/>
        <v>0.35</v>
      </c>
      <c r="J284" s="350"/>
      <c r="K284" s="340">
        <f t="shared" ref="K284:K289" si="72">SUM(F284-(F284*I284))</f>
        <v>1913.6000000000001</v>
      </c>
      <c r="L284" s="331">
        <f t="shared" ref="L284:L288" si="73">H284*K284</f>
        <v>0</v>
      </c>
      <c r="M284" s="256" t="s">
        <v>360</v>
      </c>
      <c r="N284" s="336">
        <v>0.36199999999999999</v>
      </c>
      <c r="O284" s="370">
        <v>51</v>
      </c>
      <c r="P284" s="92"/>
      <c r="Q284" s="46"/>
      <c r="R284" s="92"/>
      <c r="S284" s="46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</row>
    <row r="285" spans="1:48" ht="18.649999999999999" customHeight="1">
      <c r="A285" s="380" t="s">
        <v>1515</v>
      </c>
      <c r="B285" s="261"/>
      <c r="C285" s="219">
        <v>18</v>
      </c>
      <c r="D285" s="219">
        <v>20</v>
      </c>
      <c r="E285" s="231"/>
      <c r="F285" s="350">
        <v>3227</v>
      </c>
      <c r="G285" s="222">
        <v>258200</v>
      </c>
      <c r="H285" s="223"/>
      <c r="I285" s="145">
        <f t="shared" si="69"/>
        <v>0.35</v>
      </c>
      <c r="J285" s="350"/>
      <c r="K285" s="340">
        <f t="shared" si="72"/>
        <v>2097.5500000000002</v>
      </c>
      <c r="L285" s="331">
        <f t="shared" si="73"/>
        <v>0</v>
      </c>
      <c r="M285" s="256" t="s">
        <v>360</v>
      </c>
      <c r="N285" s="336">
        <v>0.36199999999999999</v>
      </c>
      <c r="O285" s="370">
        <v>51</v>
      </c>
      <c r="P285" s="92"/>
      <c r="Q285" s="46"/>
      <c r="R285" s="92"/>
      <c r="S285" s="46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</row>
    <row r="286" spans="1:48" ht="18.649999999999999" customHeight="1">
      <c r="A286" s="382" t="s">
        <v>1620</v>
      </c>
      <c r="B286" s="261"/>
      <c r="C286" s="353">
        <v>11.2</v>
      </c>
      <c r="D286" s="353">
        <v>12.5</v>
      </c>
      <c r="E286" s="231"/>
      <c r="F286" s="350">
        <v>2797</v>
      </c>
      <c r="G286" s="222">
        <v>223800</v>
      </c>
      <c r="H286" s="223"/>
      <c r="I286" s="145">
        <f t="shared" si="69"/>
        <v>0.35</v>
      </c>
      <c r="J286" s="350"/>
      <c r="K286" s="340">
        <f t="shared" si="72"/>
        <v>1818.0500000000002</v>
      </c>
      <c r="L286" s="331">
        <f t="shared" si="73"/>
        <v>0</v>
      </c>
      <c r="M286" s="256" t="s">
        <v>360</v>
      </c>
      <c r="N286" s="336">
        <v>0.36199999999999999</v>
      </c>
      <c r="O286" s="370">
        <v>45</v>
      </c>
      <c r="P286" s="92"/>
      <c r="Q286" s="46"/>
      <c r="R286" s="92"/>
      <c r="S286" s="46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</row>
    <row r="287" spans="1:48" ht="18.649999999999999" customHeight="1">
      <c r="A287" s="382" t="s">
        <v>1516</v>
      </c>
      <c r="B287" s="261"/>
      <c r="C287" s="353">
        <v>22.4</v>
      </c>
      <c r="D287" s="219">
        <v>25</v>
      </c>
      <c r="E287" s="231"/>
      <c r="F287" s="350">
        <v>3682</v>
      </c>
      <c r="G287" s="222">
        <v>294600</v>
      </c>
      <c r="H287" s="223"/>
      <c r="I287" s="145">
        <f t="shared" si="69"/>
        <v>0.35</v>
      </c>
      <c r="J287" s="350"/>
      <c r="K287" s="340">
        <f t="shared" si="72"/>
        <v>2393.3000000000002</v>
      </c>
      <c r="L287" s="331">
        <f t="shared" si="73"/>
        <v>0</v>
      </c>
      <c r="M287" s="256" t="s">
        <v>361</v>
      </c>
      <c r="N287" s="336">
        <v>0.79400000000000004</v>
      </c>
      <c r="O287" s="367">
        <v>100</v>
      </c>
      <c r="P287" s="92"/>
      <c r="Q287" s="46"/>
      <c r="R287" s="92"/>
      <c r="S287" s="46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</row>
    <row r="288" spans="1:48" ht="18.649999999999999" customHeight="1">
      <c r="A288" s="382" t="s">
        <v>1517</v>
      </c>
      <c r="B288" s="261"/>
      <c r="C288" s="219">
        <v>25</v>
      </c>
      <c r="D288" s="219">
        <v>28</v>
      </c>
      <c r="E288" s="231"/>
      <c r="F288" s="350">
        <v>3979</v>
      </c>
      <c r="G288" s="222">
        <v>318400</v>
      </c>
      <c r="H288" s="223"/>
      <c r="I288" s="145">
        <f t="shared" si="69"/>
        <v>0.35</v>
      </c>
      <c r="J288" s="350"/>
      <c r="K288" s="340">
        <f t="shared" si="72"/>
        <v>2586.3500000000004</v>
      </c>
      <c r="L288" s="331">
        <f t="shared" si="73"/>
        <v>0</v>
      </c>
      <c r="M288" s="256" t="s">
        <v>361</v>
      </c>
      <c r="N288" s="336">
        <v>0.79400000000000004</v>
      </c>
      <c r="O288" s="367">
        <v>100</v>
      </c>
      <c r="P288" s="92"/>
      <c r="Q288" s="46"/>
      <c r="R288" s="92"/>
      <c r="S288" s="46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</row>
    <row r="289" spans="1:48" ht="18.649999999999999" customHeight="1">
      <c r="A289" s="382" t="s">
        <v>1518</v>
      </c>
      <c r="B289" s="261"/>
      <c r="C289" s="219">
        <v>28</v>
      </c>
      <c r="D289" s="219">
        <v>31.2</v>
      </c>
      <c r="E289" s="231"/>
      <c r="F289" s="350">
        <v>4163</v>
      </c>
      <c r="G289" s="222">
        <v>333100</v>
      </c>
      <c r="H289" s="223"/>
      <c r="I289" s="145">
        <f t="shared" si="69"/>
        <v>0.35</v>
      </c>
      <c r="J289" s="350"/>
      <c r="K289" s="340">
        <f t="shared" si="72"/>
        <v>2705.95</v>
      </c>
      <c r="L289" s="331">
        <f>H289*K289</f>
        <v>0</v>
      </c>
      <c r="M289" s="256" t="s">
        <v>361</v>
      </c>
      <c r="N289" s="336">
        <v>0.79400000000000004</v>
      </c>
      <c r="O289" s="367">
        <v>100</v>
      </c>
      <c r="P289" s="92"/>
      <c r="Q289" s="46"/>
      <c r="R289" s="92"/>
      <c r="S289" s="46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</row>
    <row r="290" spans="1:48" ht="30" customHeight="1">
      <c r="A290" s="445" t="s">
        <v>178</v>
      </c>
      <c r="B290" s="266"/>
      <c r="C290" s="266"/>
      <c r="D290" s="266"/>
      <c r="E290" s="266"/>
      <c r="F290" s="266"/>
      <c r="G290" s="266"/>
      <c r="H290" s="266"/>
      <c r="I290" s="266"/>
      <c r="J290" s="266"/>
      <c r="K290" s="266"/>
      <c r="L290" s="267"/>
      <c r="M290" s="268"/>
      <c r="N290" s="268"/>
      <c r="O290" s="446"/>
      <c r="Q290" s="46"/>
      <c r="S290" s="46"/>
    </row>
    <row r="291" spans="1:48" ht="30" customHeight="1">
      <c r="A291" s="537" t="s">
        <v>179</v>
      </c>
      <c r="B291" s="538"/>
      <c r="C291" s="538"/>
      <c r="D291" s="538"/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9"/>
      <c r="Q291" s="46"/>
      <c r="S291" s="46"/>
    </row>
    <row r="292" spans="1:48" ht="17.25" customHeight="1">
      <c r="A292" s="380" t="s">
        <v>226</v>
      </c>
      <c r="B292" s="261"/>
      <c r="C292" s="353">
        <v>3.6</v>
      </c>
      <c r="D292" s="353">
        <v>4.0999999999999996</v>
      </c>
      <c r="E292" s="231"/>
      <c r="F292" s="350">
        <v>1262</v>
      </c>
      <c r="G292" s="222">
        <v>101000</v>
      </c>
      <c r="H292" s="223"/>
      <c r="I292" s="145">
        <f t="shared" ref="I292:I307" si="74">$D$3</f>
        <v>0.35</v>
      </c>
      <c r="J292" s="350"/>
      <c r="K292" s="340">
        <f t="shared" ref="K292:K299" si="75">SUM(F292-(F292*I292))</f>
        <v>820.3</v>
      </c>
      <c r="L292" s="331">
        <f t="shared" ref="L292:L299" si="76">H292*K292</f>
        <v>0</v>
      </c>
      <c r="M292" s="256" t="s">
        <v>362</v>
      </c>
      <c r="N292" s="336">
        <v>0.29099999999999998</v>
      </c>
      <c r="O292" s="370">
        <v>36</v>
      </c>
      <c r="Q292" s="46"/>
      <c r="S292" s="46"/>
    </row>
    <row r="293" spans="1:48" ht="17.25" customHeight="1">
      <c r="A293" s="380" t="s">
        <v>227</v>
      </c>
      <c r="B293" s="261"/>
      <c r="C293" s="355">
        <v>4.5</v>
      </c>
      <c r="D293" s="257">
        <v>5</v>
      </c>
      <c r="E293" s="231"/>
      <c r="F293" s="350">
        <v>1345</v>
      </c>
      <c r="G293" s="222">
        <v>107600</v>
      </c>
      <c r="H293" s="223"/>
      <c r="I293" s="145">
        <f t="shared" si="74"/>
        <v>0.35</v>
      </c>
      <c r="J293" s="350"/>
      <c r="K293" s="340">
        <f t="shared" si="75"/>
        <v>874.25</v>
      </c>
      <c r="L293" s="331">
        <f t="shared" si="76"/>
        <v>0</v>
      </c>
      <c r="M293" s="256" t="s">
        <v>362</v>
      </c>
      <c r="N293" s="336">
        <v>0.29099999999999998</v>
      </c>
      <c r="O293" s="367">
        <v>37</v>
      </c>
      <c r="Q293" s="46"/>
      <c r="S293" s="46"/>
    </row>
    <row r="294" spans="1:48" ht="17.25" customHeight="1">
      <c r="A294" s="380" t="s">
        <v>228</v>
      </c>
      <c r="B294" s="261"/>
      <c r="C294" s="353">
        <v>5.6</v>
      </c>
      <c r="D294" s="353">
        <v>6.3</v>
      </c>
      <c r="E294" s="231"/>
      <c r="F294" s="350">
        <v>1363</v>
      </c>
      <c r="G294" s="222">
        <v>109100</v>
      </c>
      <c r="H294" s="223"/>
      <c r="I294" s="145">
        <f t="shared" si="74"/>
        <v>0.35</v>
      </c>
      <c r="J294" s="350"/>
      <c r="K294" s="340">
        <f t="shared" si="75"/>
        <v>885.95</v>
      </c>
      <c r="L294" s="331">
        <f t="shared" si="76"/>
        <v>0</v>
      </c>
      <c r="M294" s="256" t="s">
        <v>362</v>
      </c>
      <c r="N294" s="336">
        <v>0.29099999999999998</v>
      </c>
      <c r="O294" s="367">
        <v>37</v>
      </c>
      <c r="Q294" s="46"/>
      <c r="S294" s="46"/>
    </row>
    <row r="295" spans="1:48" ht="17.25" customHeight="1">
      <c r="A295" s="380" t="s">
        <v>229</v>
      </c>
      <c r="B295" s="261"/>
      <c r="C295" s="353">
        <v>7.1</v>
      </c>
      <c r="D295" s="219">
        <v>8</v>
      </c>
      <c r="E295" s="231"/>
      <c r="F295" s="350">
        <v>1599</v>
      </c>
      <c r="G295" s="222">
        <v>128000</v>
      </c>
      <c r="H295" s="223"/>
      <c r="I295" s="145">
        <f t="shared" si="74"/>
        <v>0.35</v>
      </c>
      <c r="J295" s="350"/>
      <c r="K295" s="340">
        <f t="shared" si="75"/>
        <v>1039.3499999999999</v>
      </c>
      <c r="L295" s="331">
        <f t="shared" si="76"/>
        <v>0</v>
      </c>
      <c r="M295" s="256" t="s">
        <v>362</v>
      </c>
      <c r="N295" s="336">
        <v>0.29099999999999998</v>
      </c>
      <c r="O295" s="367">
        <v>38</v>
      </c>
      <c r="Q295" s="46"/>
      <c r="S295" s="46"/>
    </row>
    <row r="296" spans="1:48" ht="17.25" customHeight="1">
      <c r="A296" s="380" t="s">
        <v>230</v>
      </c>
      <c r="B296" s="261"/>
      <c r="C296" s="219">
        <v>9</v>
      </c>
      <c r="D296" s="219">
        <v>10</v>
      </c>
      <c r="E296" s="231"/>
      <c r="F296" s="350">
        <v>2034</v>
      </c>
      <c r="G296" s="222">
        <v>162800</v>
      </c>
      <c r="H296" s="223"/>
      <c r="I296" s="145">
        <f t="shared" si="74"/>
        <v>0.35</v>
      </c>
      <c r="J296" s="350"/>
      <c r="K296" s="340">
        <f t="shared" si="75"/>
        <v>1322.1</v>
      </c>
      <c r="L296" s="331">
        <f t="shared" si="76"/>
        <v>0</v>
      </c>
      <c r="M296" s="256" t="s">
        <v>363</v>
      </c>
      <c r="N296" s="336">
        <v>0.45200000000000001</v>
      </c>
      <c r="O296" s="367">
        <v>61</v>
      </c>
      <c r="Q296" s="46"/>
      <c r="S296" s="46"/>
    </row>
    <row r="297" spans="1:48" ht="17.25" customHeight="1">
      <c r="A297" s="380" t="s">
        <v>231</v>
      </c>
      <c r="B297" s="261"/>
      <c r="C297" s="353">
        <v>11.2</v>
      </c>
      <c r="D297" s="353">
        <v>12.5</v>
      </c>
      <c r="E297" s="231"/>
      <c r="F297" s="350">
        <v>2244</v>
      </c>
      <c r="G297" s="222">
        <v>179600</v>
      </c>
      <c r="H297" s="223"/>
      <c r="I297" s="145">
        <f t="shared" si="74"/>
        <v>0.35</v>
      </c>
      <c r="J297" s="350"/>
      <c r="K297" s="340">
        <f t="shared" si="75"/>
        <v>1458.6</v>
      </c>
      <c r="L297" s="331">
        <f t="shared" si="76"/>
        <v>0</v>
      </c>
      <c r="M297" s="256" t="s">
        <v>363</v>
      </c>
      <c r="N297" s="336">
        <v>0.45200000000000001</v>
      </c>
      <c r="O297" s="370">
        <v>62</v>
      </c>
      <c r="Q297" s="46"/>
      <c r="S297" s="46"/>
    </row>
    <row r="298" spans="1:48" s="3" customFormat="1" ht="17.25" customHeight="1">
      <c r="A298" s="380" t="s">
        <v>232</v>
      </c>
      <c r="B298" s="261"/>
      <c r="C298" s="353">
        <v>12.5</v>
      </c>
      <c r="D298" s="219">
        <v>14</v>
      </c>
      <c r="E298" s="231"/>
      <c r="F298" s="350">
        <v>2581</v>
      </c>
      <c r="G298" s="222">
        <v>206500</v>
      </c>
      <c r="H298" s="223"/>
      <c r="I298" s="145">
        <f t="shared" si="74"/>
        <v>0.35</v>
      </c>
      <c r="J298" s="350"/>
      <c r="K298" s="340">
        <f t="shared" si="75"/>
        <v>1677.65</v>
      </c>
      <c r="L298" s="331">
        <f>H298*K298</f>
        <v>0</v>
      </c>
      <c r="M298" s="256" t="s">
        <v>363</v>
      </c>
      <c r="N298" s="336">
        <v>0.45200000000000001</v>
      </c>
      <c r="O298" s="370">
        <v>62</v>
      </c>
      <c r="P298" s="47"/>
      <c r="Q298" s="46"/>
      <c r="R298" s="47"/>
      <c r="S298" s="46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</row>
    <row r="299" spans="1:48" ht="17.25" customHeight="1">
      <c r="A299" s="380" t="s">
        <v>233</v>
      </c>
      <c r="B299" s="261"/>
      <c r="C299" s="219">
        <v>14</v>
      </c>
      <c r="D299" s="219">
        <v>16</v>
      </c>
      <c r="E299" s="231"/>
      <c r="F299" s="350">
        <v>3057</v>
      </c>
      <c r="G299" s="222">
        <v>244600</v>
      </c>
      <c r="H299" s="223"/>
      <c r="I299" s="145">
        <f t="shared" si="74"/>
        <v>0.35</v>
      </c>
      <c r="J299" s="350"/>
      <c r="K299" s="340">
        <f t="shared" si="75"/>
        <v>1987.05</v>
      </c>
      <c r="L299" s="331">
        <f t="shared" si="76"/>
        <v>0</v>
      </c>
      <c r="M299" s="256" t="s">
        <v>363</v>
      </c>
      <c r="N299" s="336">
        <v>0.45200000000000001</v>
      </c>
      <c r="O299" s="367">
        <v>62</v>
      </c>
      <c r="Q299" s="46"/>
      <c r="S299" s="46"/>
    </row>
    <row r="300" spans="1:48" ht="17.25" customHeight="1">
      <c r="A300" s="380" t="s">
        <v>1519</v>
      </c>
      <c r="B300" s="261"/>
      <c r="C300" s="353">
        <v>3.6</v>
      </c>
      <c r="D300" s="353">
        <v>4.0999999999999996</v>
      </c>
      <c r="E300" s="231"/>
      <c r="F300" s="350">
        <v>1262</v>
      </c>
      <c r="G300" s="222">
        <v>101000</v>
      </c>
      <c r="H300" s="223"/>
      <c r="I300" s="145">
        <f t="shared" si="74"/>
        <v>0.35</v>
      </c>
      <c r="J300" s="350"/>
      <c r="K300" s="340">
        <f t="shared" ref="K300:K307" si="77">SUM(F300-(F300*I300))</f>
        <v>820.3</v>
      </c>
      <c r="L300" s="331">
        <f t="shared" ref="L300:L305" si="78">H300*K300</f>
        <v>0</v>
      </c>
      <c r="M300" s="256" t="s">
        <v>362</v>
      </c>
      <c r="N300" s="336">
        <v>0.29099999999999998</v>
      </c>
      <c r="O300" s="370">
        <v>36</v>
      </c>
      <c r="P300" s="92"/>
      <c r="Q300" s="46"/>
      <c r="R300" s="92"/>
      <c r="S300" s="46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</row>
    <row r="301" spans="1:48" ht="17.25" customHeight="1">
      <c r="A301" s="380" t="s">
        <v>1520</v>
      </c>
      <c r="B301" s="261"/>
      <c r="C301" s="355">
        <v>4.5</v>
      </c>
      <c r="D301" s="257">
        <v>5</v>
      </c>
      <c r="E301" s="231"/>
      <c r="F301" s="350">
        <v>1345</v>
      </c>
      <c r="G301" s="222">
        <v>107600</v>
      </c>
      <c r="H301" s="223"/>
      <c r="I301" s="145">
        <f t="shared" si="74"/>
        <v>0.35</v>
      </c>
      <c r="J301" s="350"/>
      <c r="K301" s="340">
        <f t="shared" si="77"/>
        <v>874.25</v>
      </c>
      <c r="L301" s="331">
        <f t="shared" si="78"/>
        <v>0</v>
      </c>
      <c r="M301" s="256" t="s">
        <v>362</v>
      </c>
      <c r="N301" s="336">
        <v>0.29099999999999998</v>
      </c>
      <c r="O301" s="367">
        <v>37</v>
      </c>
      <c r="P301" s="92"/>
      <c r="Q301" s="46"/>
      <c r="R301" s="92"/>
      <c r="S301" s="46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</row>
    <row r="302" spans="1:48" ht="17.25" customHeight="1">
      <c r="A302" s="380" t="s">
        <v>1521</v>
      </c>
      <c r="B302" s="261"/>
      <c r="C302" s="353">
        <v>5.6</v>
      </c>
      <c r="D302" s="353">
        <v>6.3</v>
      </c>
      <c r="E302" s="231"/>
      <c r="F302" s="350">
        <v>1363</v>
      </c>
      <c r="G302" s="222">
        <v>109100</v>
      </c>
      <c r="H302" s="223"/>
      <c r="I302" s="145">
        <f t="shared" si="74"/>
        <v>0.35</v>
      </c>
      <c r="J302" s="350"/>
      <c r="K302" s="340">
        <f t="shared" si="77"/>
        <v>885.95</v>
      </c>
      <c r="L302" s="331">
        <f t="shared" si="78"/>
        <v>0</v>
      </c>
      <c r="M302" s="256" t="s">
        <v>362</v>
      </c>
      <c r="N302" s="336">
        <v>0.29099999999999998</v>
      </c>
      <c r="O302" s="367">
        <v>37</v>
      </c>
      <c r="P302" s="92"/>
      <c r="Q302" s="46"/>
      <c r="R302" s="92"/>
      <c r="S302" s="46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</row>
    <row r="303" spans="1:48" ht="17.25" customHeight="1">
      <c r="A303" s="380" t="s">
        <v>1522</v>
      </c>
      <c r="B303" s="261"/>
      <c r="C303" s="353">
        <v>7.1</v>
      </c>
      <c r="D303" s="219">
        <v>8</v>
      </c>
      <c r="E303" s="231"/>
      <c r="F303" s="350">
        <v>1599</v>
      </c>
      <c r="G303" s="222">
        <v>128000</v>
      </c>
      <c r="H303" s="223"/>
      <c r="I303" s="145">
        <f t="shared" si="74"/>
        <v>0.35</v>
      </c>
      <c r="J303" s="350"/>
      <c r="K303" s="340">
        <f t="shared" si="77"/>
        <v>1039.3499999999999</v>
      </c>
      <c r="L303" s="331">
        <f t="shared" si="78"/>
        <v>0</v>
      </c>
      <c r="M303" s="256" t="s">
        <v>362</v>
      </c>
      <c r="N303" s="336">
        <v>0.29099999999999998</v>
      </c>
      <c r="O303" s="367">
        <v>38</v>
      </c>
      <c r="P303" s="92"/>
      <c r="Q303" s="46"/>
      <c r="R303" s="92"/>
      <c r="S303" s="46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</row>
    <row r="304" spans="1:48" ht="17.25" customHeight="1">
      <c r="A304" s="380" t="s">
        <v>1523</v>
      </c>
      <c r="B304" s="261"/>
      <c r="C304" s="219">
        <v>9</v>
      </c>
      <c r="D304" s="219">
        <v>10</v>
      </c>
      <c r="E304" s="231"/>
      <c r="F304" s="350">
        <v>2034</v>
      </c>
      <c r="G304" s="222">
        <v>162800</v>
      </c>
      <c r="H304" s="223"/>
      <c r="I304" s="145">
        <f t="shared" si="74"/>
        <v>0.35</v>
      </c>
      <c r="J304" s="350"/>
      <c r="K304" s="340">
        <f t="shared" si="77"/>
        <v>1322.1</v>
      </c>
      <c r="L304" s="331">
        <f t="shared" si="78"/>
        <v>0</v>
      </c>
      <c r="M304" s="256" t="s">
        <v>363</v>
      </c>
      <c r="N304" s="336">
        <v>0.45200000000000001</v>
      </c>
      <c r="O304" s="367">
        <v>61</v>
      </c>
      <c r="P304" s="92"/>
      <c r="Q304" s="46"/>
      <c r="R304" s="92"/>
      <c r="S304" s="46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</row>
    <row r="305" spans="1:48" ht="17.25" customHeight="1">
      <c r="A305" s="380" t="s">
        <v>1524</v>
      </c>
      <c r="B305" s="261"/>
      <c r="C305" s="353">
        <v>11.2</v>
      </c>
      <c r="D305" s="353">
        <v>12.5</v>
      </c>
      <c r="E305" s="231"/>
      <c r="F305" s="350">
        <v>2244</v>
      </c>
      <c r="G305" s="222">
        <v>179600</v>
      </c>
      <c r="H305" s="223"/>
      <c r="I305" s="145">
        <f t="shared" si="74"/>
        <v>0.35</v>
      </c>
      <c r="J305" s="350"/>
      <c r="K305" s="340">
        <f t="shared" si="77"/>
        <v>1458.6</v>
      </c>
      <c r="L305" s="331">
        <f t="shared" si="78"/>
        <v>0</v>
      </c>
      <c r="M305" s="256" t="s">
        <v>363</v>
      </c>
      <c r="N305" s="336">
        <v>0.45200000000000001</v>
      </c>
      <c r="O305" s="370">
        <v>62</v>
      </c>
      <c r="P305" s="92"/>
      <c r="Q305" s="46"/>
      <c r="R305" s="92"/>
      <c r="S305" s="46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</row>
    <row r="306" spans="1:48" s="3" customFormat="1" ht="17.25" customHeight="1">
      <c r="A306" s="380" t="s">
        <v>1525</v>
      </c>
      <c r="B306" s="261"/>
      <c r="C306" s="353">
        <v>12.5</v>
      </c>
      <c r="D306" s="219">
        <v>14</v>
      </c>
      <c r="E306" s="231"/>
      <c r="F306" s="350">
        <v>2581</v>
      </c>
      <c r="G306" s="222">
        <v>206500</v>
      </c>
      <c r="H306" s="223"/>
      <c r="I306" s="145">
        <f t="shared" si="74"/>
        <v>0.35</v>
      </c>
      <c r="J306" s="350"/>
      <c r="K306" s="340">
        <f t="shared" si="77"/>
        <v>1677.65</v>
      </c>
      <c r="L306" s="331">
        <f>H306*K306</f>
        <v>0</v>
      </c>
      <c r="M306" s="256" t="s">
        <v>363</v>
      </c>
      <c r="N306" s="336">
        <v>0.45200000000000001</v>
      </c>
      <c r="O306" s="370">
        <v>62</v>
      </c>
      <c r="P306" s="47"/>
      <c r="Q306" s="46"/>
      <c r="R306" s="47"/>
      <c r="S306" s="46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</row>
    <row r="307" spans="1:48" ht="17.25" customHeight="1">
      <c r="A307" s="380" t="s">
        <v>1526</v>
      </c>
      <c r="B307" s="261"/>
      <c r="C307" s="219">
        <v>14</v>
      </c>
      <c r="D307" s="219">
        <v>16</v>
      </c>
      <c r="E307" s="231"/>
      <c r="F307" s="350">
        <v>3057</v>
      </c>
      <c r="G307" s="222">
        <v>244600</v>
      </c>
      <c r="H307" s="223"/>
      <c r="I307" s="145">
        <f t="shared" si="74"/>
        <v>0.35</v>
      </c>
      <c r="J307" s="350"/>
      <c r="K307" s="340">
        <f t="shared" si="77"/>
        <v>1987.05</v>
      </c>
      <c r="L307" s="331">
        <f t="shared" ref="L307" si="79">H307*K307</f>
        <v>0</v>
      </c>
      <c r="M307" s="256" t="s">
        <v>363</v>
      </c>
      <c r="N307" s="336">
        <v>0.45200000000000001</v>
      </c>
      <c r="O307" s="367">
        <v>62</v>
      </c>
      <c r="P307" s="92"/>
      <c r="Q307" s="46"/>
      <c r="R307" s="92"/>
      <c r="S307" s="46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</row>
    <row r="308" spans="1:48" s="10" customFormat="1" ht="13.5" thickBot="1">
      <c r="A308" s="447"/>
      <c r="B308" s="854"/>
      <c r="C308" s="854"/>
      <c r="D308" s="854"/>
      <c r="E308" s="854"/>
      <c r="F308" s="269"/>
      <c r="G308" s="269"/>
      <c r="H308" s="356"/>
      <c r="I308" s="269"/>
      <c r="J308" s="269"/>
      <c r="K308" s="270"/>
      <c r="L308" s="270"/>
      <c r="M308" s="270"/>
      <c r="N308" s="270"/>
      <c r="O308" s="448"/>
      <c r="P308" s="38"/>
      <c r="Q308" s="38"/>
      <c r="R308" s="38"/>
      <c r="S308" s="46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</row>
    <row r="309" spans="1:48" ht="30" customHeight="1">
      <c r="A309" s="617" t="s">
        <v>51</v>
      </c>
      <c r="B309" s="618"/>
      <c r="C309" s="618"/>
      <c r="D309" s="618"/>
      <c r="E309" s="618"/>
      <c r="F309" s="618"/>
      <c r="G309" s="618"/>
      <c r="H309" s="618"/>
      <c r="I309" s="618"/>
      <c r="J309" s="618"/>
      <c r="K309" s="618"/>
      <c r="L309" s="618"/>
      <c r="M309" s="618"/>
      <c r="N309" s="119"/>
      <c r="O309" s="368"/>
      <c r="P309" s="38"/>
      <c r="Q309" s="38"/>
      <c r="R309" s="38"/>
      <c r="S309" s="46"/>
    </row>
    <row r="310" spans="1:48" ht="61.75" customHeight="1">
      <c r="A310" s="400"/>
      <c r="B310" s="575" t="s">
        <v>365</v>
      </c>
      <c r="C310" s="575"/>
      <c r="D310" s="575"/>
      <c r="E310" s="821" t="s">
        <v>364</v>
      </c>
      <c r="F310" s="822"/>
      <c r="G310" s="823"/>
      <c r="H310" s="341" t="s">
        <v>28</v>
      </c>
      <c r="I310" s="341" t="s">
        <v>494</v>
      </c>
      <c r="J310" s="341" t="s">
        <v>22</v>
      </c>
      <c r="K310" s="173" t="s">
        <v>490</v>
      </c>
      <c r="L310" s="173" t="s">
        <v>27</v>
      </c>
      <c r="M310" s="810" t="s">
        <v>23</v>
      </c>
      <c r="N310" s="811"/>
      <c r="O310" s="433" t="s">
        <v>24</v>
      </c>
      <c r="S310" s="46"/>
    </row>
    <row r="311" spans="1:48" ht="22.5" customHeight="1">
      <c r="A311" s="449" t="s">
        <v>519</v>
      </c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450"/>
      <c r="P311" s="55"/>
      <c r="Q311" s="55"/>
      <c r="R311" s="55"/>
      <c r="S311" s="46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</row>
    <row r="312" spans="1:48" s="56" customFormat="1" ht="63.75" customHeight="1">
      <c r="A312" s="402" t="s">
        <v>1274</v>
      </c>
      <c r="B312" s="547" t="s">
        <v>235</v>
      </c>
      <c r="C312" s="547"/>
      <c r="D312" s="547"/>
      <c r="E312" s="716" t="s">
        <v>401</v>
      </c>
      <c r="F312" s="717"/>
      <c r="G312" s="718"/>
      <c r="H312" s="160"/>
      <c r="I312" s="354">
        <v>128</v>
      </c>
      <c r="J312" s="145">
        <f t="shared" ref="J312:J343" si="80">$D$3</f>
        <v>0.35</v>
      </c>
      <c r="K312" s="357">
        <f t="shared" ref="K312:K343" si="81">I312-I312*$D$3</f>
        <v>83.2</v>
      </c>
      <c r="L312" s="331">
        <f t="shared" ref="L312:L343" si="82">H312*K312</f>
        <v>0</v>
      </c>
      <c r="M312" s="812">
        <v>6.0000000000000001E-3</v>
      </c>
      <c r="N312" s="813"/>
      <c r="O312" s="444">
        <v>1</v>
      </c>
      <c r="P312" s="76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</row>
    <row r="313" spans="1:48" s="28" customFormat="1" ht="22.5" customHeight="1">
      <c r="A313" s="402" t="s">
        <v>1558</v>
      </c>
      <c r="B313" s="547" t="s">
        <v>676</v>
      </c>
      <c r="C313" s="547"/>
      <c r="D313" s="547"/>
      <c r="E313" s="716" t="s">
        <v>709</v>
      </c>
      <c r="F313" s="717"/>
      <c r="G313" s="718"/>
      <c r="H313" s="160"/>
      <c r="I313" s="351">
        <v>120</v>
      </c>
      <c r="J313" s="145">
        <f t="shared" si="80"/>
        <v>0.35</v>
      </c>
      <c r="K313" s="357">
        <f t="shared" si="81"/>
        <v>78</v>
      </c>
      <c r="L313" s="331">
        <f t="shared" si="82"/>
        <v>0</v>
      </c>
      <c r="M313" s="812">
        <v>0.02</v>
      </c>
      <c r="N313" s="813"/>
      <c r="O313" s="444">
        <v>1.1000000000000001</v>
      </c>
      <c r="P313" s="49"/>
      <c r="Q313" s="49"/>
      <c r="R313" s="57"/>
      <c r="S313" s="57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</row>
    <row r="314" spans="1:48" s="28" customFormat="1" ht="22.5" customHeight="1">
      <c r="A314" s="402" t="s">
        <v>1559</v>
      </c>
      <c r="B314" s="547" t="s">
        <v>789</v>
      </c>
      <c r="C314" s="547"/>
      <c r="D314" s="547"/>
      <c r="E314" s="716" t="s">
        <v>790</v>
      </c>
      <c r="F314" s="717"/>
      <c r="G314" s="718"/>
      <c r="H314" s="160"/>
      <c r="I314" s="351">
        <v>131</v>
      </c>
      <c r="J314" s="145">
        <f t="shared" si="80"/>
        <v>0.35</v>
      </c>
      <c r="K314" s="357">
        <f t="shared" si="81"/>
        <v>85.15</v>
      </c>
      <c r="L314" s="331">
        <f t="shared" si="82"/>
        <v>0</v>
      </c>
      <c r="M314" s="812">
        <v>0.02</v>
      </c>
      <c r="N314" s="813"/>
      <c r="O314" s="444">
        <v>1.1000000000000001</v>
      </c>
      <c r="P314" s="49"/>
      <c r="Q314" s="49"/>
      <c r="R314" s="57"/>
      <c r="S314" s="57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</row>
    <row r="315" spans="1:48" s="28" customFormat="1" ht="22.5" customHeight="1">
      <c r="A315" s="402" t="s">
        <v>1560</v>
      </c>
      <c r="B315" s="547" t="s">
        <v>791</v>
      </c>
      <c r="C315" s="547"/>
      <c r="D315" s="547"/>
      <c r="E315" s="716" t="s">
        <v>790</v>
      </c>
      <c r="F315" s="717"/>
      <c r="G315" s="718"/>
      <c r="H315" s="160"/>
      <c r="I315" s="351">
        <v>101</v>
      </c>
      <c r="J315" s="145">
        <f t="shared" si="80"/>
        <v>0.35</v>
      </c>
      <c r="K315" s="357">
        <f t="shared" si="81"/>
        <v>65.650000000000006</v>
      </c>
      <c r="L315" s="331">
        <f t="shared" si="82"/>
        <v>0</v>
      </c>
      <c r="M315" s="812">
        <v>0.02</v>
      </c>
      <c r="N315" s="813"/>
      <c r="O315" s="444">
        <v>0.8</v>
      </c>
      <c r="P315" s="49"/>
      <c r="Q315" s="49"/>
      <c r="R315" s="57"/>
      <c r="S315" s="57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</row>
    <row r="316" spans="1:48" s="28" customFormat="1" ht="26.25" customHeight="1">
      <c r="A316" s="402" t="s">
        <v>1561</v>
      </c>
      <c r="B316" s="547" t="s">
        <v>683</v>
      </c>
      <c r="C316" s="547"/>
      <c r="D316" s="547"/>
      <c r="E316" s="716" t="s">
        <v>710</v>
      </c>
      <c r="F316" s="717"/>
      <c r="G316" s="718"/>
      <c r="H316" s="160"/>
      <c r="I316" s="351">
        <v>128</v>
      </c>
      <c r="J316" s="145">
        <f t="shared" si="80"/>
        <v>0.35</v>
      </c>
      <c r="K316" s="357">
        <f t="shared" si="81"/>
        <v>83.2</v>
      </c>
      <c r="L316" s="331">
        <f t="shared" si="82"/>
        <v>0</v>
      </c>
      <c r="M316" s="812">
        <v>0.02</v>
      </c>
      <c r="N316" s="813"/>
      <c r="O316" s="444">
        <v>1.1000000000000001</v>
      </c>
      <c r="P316" s="49"/>
      <c r="Q316" s="49"/>
      <c r="R316" s="57"/>
      <c r="S316" s="57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</row>
    <row r="317" spans="1:48" s="7" customFormat="1" ht="33" customHeight="1">
      <c r="A317" s="402" t="s">
        <v>1622</v>
      </c>
      <c r="B317" s="547" t="s">
        <v>684</v>
      </c>
      <c r="C317" s="547"/>
      <c r="D317" s="547"/>
      <c r="E317" s="716" t="s">
        <v>402</v>
      </c>
      <c r="F317" s="717"/>
      <c r="G317" s="718"/>
      <c r="H317" s="160"/>
      <c r="I317" s="351">
        <v>4612</v>
      </c>
      <c r="J317" s="145">
        <f t="shared" si="80"/>
        <v>0.35</v>
      </c>
      <c r="K317" s="357">
        <f t="shared" si="81"/>
        <v>2997.8</v>
      </c>
      <c r="L317" s="331">
        <f t="shared" si="82"/>
        <v>0</v>
      </c>
      <c r="M317" s="812">
        <v>0.02</v>
      </c>
      <c r="N317" s="813"/>
      <c r="O317" s="444">
        <v>1.1000000000000001</v>
      </c>
      <c r="P317" s="439"/>
      <c r="Q317" s="49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</row>
    <row r="318" spans="1:48" s="7" customFormat="1" ht="21.75" customHeight="1">
      <c r="A318" s="402" t="s">
        <v>1562</v>
      </c>
      <c r="B318" s="547" t="s">
        <v>692</v>
      </c>
      <c r="C318" s="547"/>
      <c r="D318" s="547"/>
      <c r="E318" s="716" t="s">
        <v>402</v>
      </c>
      <c r="F318" s="717"/>
      <c r="G318" s="718"/>
      <c r="H318" s="160"/>
      <c r="I318" s="351">
        <v>1617</v>
      </c>
      <c r="J318" s="145">
        <f t="shared" si="80"/>
        <v>0.35</v>
      </c>
      <c r="K318" s="357">
        <f t="shared" si="81"/>
        <v>1051.0500000000002</v>
      </c>
      <c r="L318" s="331">
        <f t="shared" si="82"/>
        <v>0</v>
      </c>
      <c r="M318" s="812">
        <v>0.02</v>
      </c>
      <c r="N318" s="813"/>
      <c r="O318" s="444">
        <v>1.1000000000000001</v>
      </c>
      <c r="P318" s="439"/>
      <c r="Q318" s="49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</row>
    <row r="319" spans="1:48" s="7" customFormat="1" ht="21.75" customHeight="1">
      <c r="A319" s="402" t="s">
        <v>1563</v>
      </c>
      <c r="B319" s="547" t="s">
        <v>693</v>
      </c>
      <c r="C319" s="547"/>
      <c r="D319" s="547"/>
      <c r="E319" s="716" t="s">
        <v>402</v>
      </c>
      <c r="F319" s="717"/>
      <c r="G319" s="718"/>
      <c r="H319" s="160"/>
      <c r="I319" s="351">
        <v>1464</v>
      </c>
      <c r="J319" s="145">
        <f t="shared" si="80"/>
        <v>0.35</v>
      </c>
      <c r="K319" s="357">
        <f t="shared" si="81"/>
        <v>951.6</v>
      </c>
      <c r="L319" s="331">
        <f t="shared" si="82"/>
        <v>0</v>
      </c>
      <c r="M319" s="812">
        <v>0.02</v>
      </c>
      <c r="N319" s="813"/>
      <c r="O319" s="444">
        <v>1.1000000000000001</v>
      </c>
      <c r="P319" s="439"/>
      <c r="Q319" s="49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</row>
    <row r="320" spans="1:48" s="7" customFormat="1" ht="31.5" customHeight="1">
      <c r="A320" s="402" t="s">
        <v>1564</v>
      </c>
      <c r="B320" s="547" t="s">
        <v>694</v>
      </c>
      <c r="C320" s="547"/>
      <c r="D320" s="547"/>
      <c r="E320" s="716" t="s">
        <v>711</v>
      </c>
      <c r="F320" s="717"/>
      <c r="G320" s="718"/>
      <c r="H320" s="160"/>
      <c r="I320" s="351">
        <v>710</v>
      </c>
      <c r="J320" s="145">
        <f t="shared" si="80"/>
        <v>0.35</v>
      </c>
      <c r="K320" s="357">
        <f t="shared" si="81"/>
        <v>461.5</v>
      </c>
      <c r="L320" s="331">
        <f t="shared" si="82"/>
        <v>0</v>
      </c>
      <c r="M320" s="812">
        <v>0.02</v>
      </c>
      <c r="N320" s="813"/>
      <c r="O320" s="444">
        <v>1.1000000000000001</v>
      </c>
      <c r="P320" s="439"/>
      <c r="Q320" s="49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</row>
    <row r="321" spans="1:42" s="7" customFormat="1" ht="31.5" customHeight="1">
      <c r="A321" s="402" t="s">
        <v>1135</v>
      </c>
      <c r="B321" s="547" t="s">
        <v>784</v>
      </c>
      <c r="C321" s="547"/>
      <c r="D321" s="547"/>
      <c r="E321" s="716" t="s">
        <v>798</v>
      </c>
      <c r="F321" s="717"/>
      <c r="G321" s="718"/>
      <c r="H321" s="160"/>
      <c r="I321" s="351">
        <v>221</v>
      </c>
      <c r="J321" s="145">
        <f t="shared" si="80"/>
        <v>0.35</v>
      </c>
      <c r="K321" s="357">
        <f t="shared" si="81"/>
        <v>143.65</v>
      </c>
      <c r="L321" s="331">
        <f t="shared" si="82"/>
        <v>0</v>
      </c>
      <c r="M321" s="814">
        <v>0.02</v>
      </c>
      <c r="N321" s="815"/>
      <c r="O321" s="444">
        <v>1.1000000000000001</v>
      </c>
      <c r="P321" s="439"/>
      <c r="Q321" s="49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</row>
    <row r="322" spans="1:42" s="7" customFormat="1" ht="31.5" customHeight="1">
      <c r="A322" s="402" t="s">
        <v>1136</v>
      </c>
      <c r="B322" s="547" t="s">
        <v>785</v>
      </c>
      <c r="C322" s="547"/>
      <c r="D322" s="547"/>
      <c r="E322" s="716" t="s">
        <v>798</v>
      </c>
      <c r="F322" s="717"/>
      <c r="G322" s="718"/>
      <c r="H322" s="160"/>
      <c r="I322" s="354">
        <v>333</v>
      </c>
      <c r="J322" s="145">
        <f t="shared" si="80"/>
        <v>0.35</v>
      </c>
      <c r="K322" s="357">
        <f t="shared" si="81"/>
        <v>216.45</v>
      </c>
      <c r="L322" s="331">
        <f t="shared" si="82"/>
        <v>0</v>
      </c>
      <c r="M322" s="814">
        <v>0.02</v>
      </c>
      <c r="N322" s="815"/>
      <c r="O322" s="444">
        <v>1.1000000000000001</v>
      </c>
      <c r="P322" s="439"/>
      <c r="Q322" s="49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</row>
    <row r="323" spans="1:42" s="32" customFormat="1" ht="31.5" customHeight="1">
      <c r="A323" s="402" t="s">
        <v>1385</v>
      </c>
      <c r="B323" s="547" t="s">
        <v>677</v>
      </c>
      <c r="C323" s="547"/>
      <c r="D323" s="547"/>
      <c r="E323" s="716" t="s">
        <v>712</v>
      </c>
      <c r="F323" s="717"/>
      <c r="G323" s="718"/>
      <c r="H323" s="160"/>
      <c r="I323" s="351">
        <v>216</v>
      </c>
      <c r="J323" s="145">
        <f t="shared" si="80"/>
        <v>0.35</v>
      </c>
      <c r="K323" s="357">
        <f t="shared" si="81"/>
        <v>140.4</v>
      </c>
      <c r="L323" s="331">
        <f t="shared" si="82"/>
        <v>0</v>
      </c>
      <c r="M323" s="814">
        <v>2.5000000000000001E-2</v>
      </c>
      <c r="N323" s="815"/>
      <c r="O323" s="444">
        <v>3</v>
      </c>
      <c r="P323" s="49"/>
      <c r="Q323" s="49"/>
      <c r="R323" s="57"/>
      <c r="S323" s="57"/>
      <c r="T323" s="57"/>
    </row>
    <row r="324" spans="1:42" s="32" customFormat="1" ht="27.75" customHeight="1">
      <c r="A324" s="402" t="s">
        <v>1565</v>
      </c>
      <c r="B324" s="547" t="s">
        <v>678</v>
      </c>
      <c r="C324" s="547"/>
      <c r="D324" s="547"/>
      <c r="E324" s="716" t="s">
        <v>712</v>
      </c>
      <c r="F324" s="717"/>
      <c r="G324" s="718"/>
      <c r="H324" s="160"/>
      <c r="I324" s="351">
        <v>232</v>
      </c>
      <c r="J324" s="145">
        <f t="shared" si="80"/>
        <v>0.35</v>
      </c>
      <c r="K324" s="357">
        <f t="shared" si="81"/>
        <v>150.80000000000001</v>
      </c>
      <c r="L324" s="331">
        <f t="shared" si="82"/>
        <v>0</v>
      </c>
      <c r="M324" s="814">
        <v>3.1E-2</v>
      </c>
      <c r="N324" s="815"/>
      <c r="O324" s="444">
        <v>3.2</v>
      </c>
      <c r="P324" s="49"/>
      <c r="Q324" s="49"/>
      <c r="R324" s="57"/>
      <c r="S324" s="57"/>
      <c r="T324" s="57"/>
    </row>
    <row r="325" spans="1:42" s="32" customFormat="1" ht="27.75" customHeight="1">
      <c r="A325" s="402" t="s">
        <v>1431</v>
      </c>
      <c r="B325" s="547" t="s">
        <v>679</v>
      </c>
      <c r="C325" s="547"/>
      <c r="D325" s="547"/>
      <c r="E325" s="716" t="s">
        <v>712</v>
      </c>
      <c r="F325" s="717"/>
      <c r="G325" s="718"/>
      <c r="H325" s="160"/>
      <c r="I325" s="351">
        <v>240</v>
      </c>
      <c r="J325" s="145">
        <f t="shared" si="80"/>
        <v>0.35</v>
      </c>
      <c r="K325" s="357">
        <f t="shared" si="81"/>
        <v>156</v>
      </c>
      <c r="L325" s="331">
        <f t="shared" si="82"/>
        <v>0</v>
      </c>
      <c r="M325" s="814">
        <v>1.2E-2</v>
      </c>
      <c r="N325" s="815"/>
      <c r="O325" s="444">
        <v>2.9</v>
      </c>
      <c r="P325" s="49"/>
      <c r="Q325" s="49"/>
      <c r="R325" s="57"/>
      <c r="S325" s="57"/>
      <c r="T325" s="57"/>
    </row>
    <row r="326" spans="1:42" s="32" customFormat="1" ht="47.25" customHeight="1">
      <c r="A326" s="401" t="s">
        <v>1566</v>
      </c>
      <c r="B326" s="547" t="s">
        <v>9</v>
      </c>
      <c r="C326" s="547"/>
      <c r="D326" s="547"/>
      <c r="E326" s="716" t="s">
        <v>401</v>
      </c>
      <c r="F326" s="717"/>
      <c r="G326" s="718"/>
      <c r="H326" s="160"/>
      <c r="I326" s="351">
        <v>158</v>
      </c>
      <c r="J326" s="145">
        <f t="shared" si="80"/>
        <v>0.35</v>
      </c>
      <c r="K326" s="357">
        <f t="shared" si="81"/>
        <v>102.7</v>
      </c>
      <c r="L326" s="331">
        <f t="shared" si="82"/>
        <v>0</v>
      </c>
      <c r="M326" s="814">
        <v>6.0000000000000001E-3</v>
      </c>
      <c r="N326" s="815"/>
      <c r="O326" s="444">
        <v>1</v>
      </c>
      <c r="P326" s="49"/>
      <c r="Q326" s="49"/>
      <c r="R326" s="57"/>
      <c r="S326" s="57"/>
      <c r="T326" s="57"/>
    </row>
    <row r="327" spans="1:42" s="32" customFormat="1" ht="23.25" customHeight="1">
      <c r="A327" s="401" t="s">
        <v>1567</v>
      </c>
      <c r="B327" s="547" t="s">
        <v>9</v>
      </c>
      <c r="C327" s="547"/>
      <c r="D327" s="547"/>
      <c r="E327" s="716" t="s">
        <v>402</v>
      </c>
      <c r="F327" s="717"/>
      <c r="G327" s="718"/>
      <c r="H327" s="160">
        <v>0</v>
      </c>
      <c r="I327" s="351">
        <v>128</v>
      </c>
      <c r="J327" s="145">
        <f t="shared" si="80"/>
        <v>0.35</v>
      </c>
      <c r="K327" s="357">
        <f t="shared" si="81"/>
        <v>83.2</v>
      </c>
      <c r="L327" s="331">
        <f t="shared" si="82"/>
        <v>0</v>
      </c>
      <c r="M327" s="814">
        <v>3.0000000000000001E-3</v>
      </c>
      <c r="N327" s="815"/>
      <c r="O327" s="444">
        <v>1.1000000000000001</v>
      </c>
      <c r="R327" s="57"/>
      <c r="S327" s="57"/>
      <c r="T327" s="57"/>
    </row>
    <row r="328" spans="1:42" s="32" customFormat="1" ht="23.25" customHeight="1">
      <c r="A328" s="401" t="s">
        <v>1568</v>
      </c>
      <c r="B328" s="547" t="s">
        <v>18</v>
      </c>
      <c r="C328" s="547"/>
      <c r="D328" s="547"/>
      <c r="E328" s="716" t="s">
        <v>402</v>
      </c>
      <c r="F328" s="717"/>
      <c r="G328" s="718"/>
      <c r="H328" s="160"/>
      <c r="I328" s="351">
        <v>137</v>
      </c>
      <c r="J328" s="145">
        <f t="shared" si="80"/>
        <v>0.35</v>
      </c>
      <c r="K328" s="357">
        <f t="shared" si="81"/>
        <v>89.050000000000011</v>
      </c>
      <c r="L328" s="331">
        <f t="shared" si="82"/>
        <v>0</v>
      </c>
      <c r="M328" s="814">
        <v>4.0000000000000001E-3</v>
      </c>
      <c r="N328" s="815"/>
      <c r="O328" s="444">
        <v>0.8</v>
      </c>
      <c r="R328" s="57"/>
      <c r="S328" s="57"/>
      <c r="T328" s="57"/>
    </row>
    <row r="329" spans="1:42" s="32" customFormat="1" ht="23.25" customHeight="1">
      <c r="A329" s="401" t="s">
        <v>1569</v>
      </c>
      <c r="B329" s="547" t="s">
        <v>17</v>
      </c>
      <c r="C329" s="547"/>
      <c r="D329" s="547"/>
      <c r="E329" s="716" t="s">
        <v>402</v>
      </c>
      <c r="F329" s="717"/>
      <c r="G329" s="718"/>
      <c r="H329" s="160"/>
      <c r="I329" s="351">
        <v>139</v>
      </c>
      <c r="J329" s="145">
        <f t="shared" si="80"/>
        <v>0.35</v>
      </c>
      <c r="K329" s="357">
        <f t="shared" si="81"/>
        <v>90.35</v>
      </c>
      <c r="L329" s="331">
        <f t="shared" si="82"/>
        <v>0</v>
      </c>
      <c r="M329" s="814">
        <v>4.0000000000000001E-3</v>
      </c>
      <c r="N329" s="815"/>
      <c r="O329" s="444">
        <v>0.8</v>
      </c>
      <c r="R329" s="57"/>
      <c r="S329" s="57"/>
      <c r="T329" s="57"/>
    </row>
    <row r="330" spans="1:42" s="92" customFormat="1" ht="31.5" customHeight="1">
      <c r="A330" s="401" t="s">
        <v>1570</v>
      </c>
      <c r="B330" s="547" t="s">
        <v>804</v>
      </c>
      <c r="C330" s="547"/>
      <c r="D330" s="547"/>
      <c r="E330" s="716" t="s">
        <v>402</v>
      </c>
      <c r="F330" s="717"/>
      <c r="G330" s="718"/>
      <c r="H330" s="160"/>
      <c r="I330" s="351">
        <v>117</v>
      </c>
      <c r="J330" s="145">
        <f t="shared" si="80"/>
        <v>0.35</v>
      </c>
      <c r="K330" s="357">
        <f t="shared" si="81"/>
        <v>76.050000000000011</v>
      </c>
      <c r="L330" s="331">
        <f t="shared" si="82"/>
        <v>0</v>
      </c>
      <c r="M330" s="814">
        <v>4.0000000000000001E-3</v>
      </c>
      <c r="N330" s="815"/>
      <c r="O330" s="444">
        <v>0.8</v>
      </c>
      <c r="R330" s="57"/>
      <c r="S330" s="57"/>
      <c r="T330" s="57"/>
    </row>
    <row r="331" spans="1:42" s="92" customFormat="1" ht="31.5" customHeight="1">
      <c r="A331" s="401" t="s">
        <v>1571</v>
      </c>
      <c r="B331" s="547" t="s">
        <v>805</v>
      </c>
      <c r="C331" s="547"/>
      <c r="D331" s="547"/>
      <c r="E331" s="716" t="s">
        <v>402</v>
      </c>
      <c r="F331" s="717"/>
      <c r="G331" s="718"/>
      <c r="H331" s="160"/>
      <c r="I331" s="351">
        <v>117</v>
      </c>
      <c r="J331" s="145">
        <f t="shared" si="80"/>
        <v>0.35</v>
      </c>
      <c r="K331" s="357">
        <f t="shared" si="81"/>
        <v>76.050000000000011</v>
      </c>
      <c r="L331" s="331">
        <f t="shared" si="82"/>
        <v>0</v>
      </c>
      <c r="M331" s="814">
        <v>4.0000000000000001E-3</v>
      </c>
      <c r="N331" s="815"/>
      <c r="O331" s="444">
        <v>0.8</v>
      </c>
      <c r="R331" s="57"/>
      <c r="S331" s="57"/>
      <c r="T331" s="57"/>
    </row>
    <row r="332" spans="1:42" s="32" customFormat="1" ht="129" customHeight="1">
      <c r="A332" s="401" t="s">
        <v>1572</v>
      </c>
      <c r="B332" s="547" t="s">
        <v>8</v>
      </c>
      <c r="C332" s="547"/>
      <c r="D332" s="547"/>
      <c r="E332" s="716" t="s">
        <v>410</v>
      </c>
      <c r="F332" s="717"/>
      <c r="G332" s="718"/>
      <c r="H332" s="160"/>
      <c r="I332" s="351">
        <v>134</v>
      </c>
      <c r="J332" s="145">
        <f t="shared" si="80"/>
        <v>0.35</v>
      </c>
      <c r="K332" s="357">
        <f t="shared" si="81"/>
        <v>87.1</v>
      </c>
      <c r="L332" s="331">
        <f t="shared" si="82"/>
        <v>0</v>
      </c>
      <c r="M332" s="814">
        <v>4.0000000000000001E-3</v>
      </c>
      <c r="N332" s="815"/>
      <c r="O332" s="444">
        <v>0.3</v>
      </c>
      <c r="R332" s="57"/>
      <c r="S332" s="57"/>
      <c r="T332" s="57"/>
    </row>
    <row r="333" spans="1:42" s="32" customFormat="1" ht="21.75" customHeight="1">
      <c r="A333" s="401" t="s">
        <v>1573</v>
      </c>
      <c r="B333" s="716" t="s">
        <v>404</v>
      </c>
      <c r="C333" s="717"/>
      <c r="D333" s="718"/>
      <c r="E333" s="716" t="s">
        <v>403</v>
      </c>
      <c r="F333" s="717"/>
      <c r="G333" s="718"/>
      <c r="H333" s="160"/>
      <c r="I333" s="351">
        <v>178</v>
      </c>
      <c r="J333" s="145">
        <f t="shared" si="80"/>
        <v>0.35</v>
      </c>
      <c r="K333" s="357">
        <f t="shared" si="81"/>
        <v>115.7</v>
      </c>
      <c r="L333" s="331">
        <f t="shared" si="82"/>
        <v>0</v>
      </c>
      <c r="M333" s="814">
        <v>0.01</v>
      </c>
      <c r="N333" s="815"/>
      <c r="O333" s="444">
        <v>0.5</v>
      </c>
      <c r="R333" s="57"/>
      <c r="S333" s="57"/>
      <c r="T333" s="57"/>
    </row>
    <row r="334" spans="1:42" s="32" customFormat="1" ht="31.5" customHeight="1">
      <c r="A334" s="401" t="s">
        <v>1574</v>
      </c>
      <c r="B334" s="716" t="s">
        <v>10</v>
      </c>
      <c r="C334" s="717"/>
      <c r="D334" s="718"/>
      <c r="E334" s="716" t="s">
        <v>409</v>
      </c>
      <c r="F334" s="717"/>
      <c r="G334" s="718"/>
      <c r="H334" s="160"/>
      <c r="I334" s="351">
        <v>205</v>
      </c>
      <c r="J334" s="145">
        <f t="shared" si="80"/>
        <v>0.35</v>
      </c>
      <c r="K334" s="357">
        <f t="shared" si="81"/>
        <v>133.25</v>
      </c>
      <c r="L334" s="331">
        <f t="shared" si="82"/>
        <v>0</v>
      </c>
      <c r="M334" s="814">
        <v>3.0000000000000001E-3</v>
      </c>
      <c r="N334" s="815"/>
      <c r="O334" s="444">
        <v>2</v>
      </c>
      <c r="R334" s="57"/>
      <c r="S334" s="57"/>
      <c r="T334" s="57"/>
    </row>
    <row r="335" spans="1:42" s="32" customFormat="1" ht="43.5" customHeight="1">
      <c r="A335" s="401" t="s">
        <v>1575</v>
      </c>
      <c r="B335" s="716" t="s">
        <v>405</v>
      </c>
      <c r="C335" s="717"/>
      <c r="D335" s="718"/>
      <c r="E335" s="716" t="s">
        <v>402</v>
      </c>
      <c r="F335" s="717"/>
      <c r="G335" s="718"/>
      <c r="H335" s="160"/>
      <c r="I335" s="351">
        <v>2138</v>
      </c>
      <c r="J335" s="145">
        <f t="shared" si="80"/>
        <v>0.35</v>
      </c>
      <c r="K335" s="357">
        <f t="shared" si="81"/>
        <v>1389.7</v>
      </c>
      <c r="L335" s="331">
        <f t="shared" si="82"/>
        <v>0</v>
      </c>
      <c r="M335" s="814">
        <v>3.0000000000000001E-3</v>
      </c>
      <c r="N335" s="815"/>
      <c r="O335" s="444">
        <v>2</v>
      </c>
      <c r="R335" s="57"/>
      <c r="S335" s="57"/>
      <c r="T335" s="57"/>
    </row>
    <row r="336" spans="1:42" s="32" customFormat="1" ht="43.5" customHeight="1">
      <c r="A336" s="401" t="s">
        <v>1621</v>
      </c>
      <c r="B336" s="716" t="s">
        <v>406</v>
      </c>
      <c r="C336" s="717"/>
      <c r="D336" s="718"/>
      <c r="E336" s="716" t="s">
        <v>411</v>
      </c>
      <c r="F336" s="717"/>
      <c r="G336" s="718"/>
      <c r="H336" s="160"/>
      <c r="I336" s="351">
        <v>3089</v>
      </c>
      <c r="J336" s="145">
        <f t="shared" si="80"/>
        <v>0.35</v>
      </c>
      <c r="K336" s="357">
        <f t="shared" si="81"/>
        <v>2007.8500000000001</v>
      </c>
      <c r="L336" s="331">
        <f t="shared" si="82"/>
        <v>0</v>
      </c>
      <c r="M336" s="814">
        <v>4.0000000000000001E-3</v>
      </c>
      <c r="N336" s="815"/>
      <c r="O336" s="444">
        <v>0.3</v>
      </c>
      <c r="R336" s="57"/>
      <c r="S336" s="57"/>
      <c r="T336" s="57"/>
    </row>
    <row r="337" spans="1:20" s="32" customFormat="1" ht="43.5" customHeight="1">
      <c r="A337" s="401" t="s">
        <v>1623</v>
      </c>
      <c r="B337" s="716" t="s">
        <v>407</v>
      </c>
      <c r="C337" s="717"/>
      <c r="D337" s="718"/>
      <c r="E337" s="716" t="s">
        <v>718</v>
      </c>
      <c r="F337" s="717"/>
      <c r="G337" s="718"/>
      <c r="H337" s="160"/>
      <c r="I337" s="351">
        <v>1548</v>
      </c>
      <c r="J337" s="145">
        <f t="shared" si="80"/>
        <v>0.35</v>
      </c>
      <c r="K337" s="357">
        <f t="shared" si="81"/>
        <v>1006.2</v>
      </c>
      <c r="L337" s="331">
        <f t="shared" si="82"/>
        <v>0</v>
      </c>
      <c r="M337" s="814">
        <v>4.0000000000000001E-3</v>
      </c>
      <c r="N337" s="815"/>
      <c r="O337" s="444">
        <v>0.3</v>
      </c>
      <c r="R337" s="57"/>
      <c r="S337" s="57"/>
      <c r="T337" s="57"/>
    </row>
    <row r="338" spans="1:20" s="32" customFormat="1" ht="43.5" customHeight="1">
      <c r="A338" s="401" t="s">
        <v>808</v>
      </c>
      <c r="B338" s="716" t="s">
        <v>408</v>
      </c>
      <c r="C338" s="717"/>
      <c r="D338" s="718"/>
      <c r="E338" s="716" t="s">
        <v>719</v>
      </c>
      <c r="F338" s="717"/>
      <c r="G338" s="718"/>
      <c r="H338" s="160"/>
      <c r="I338" s="351"/>
      <c r="J338" s="145">
        <f t="shared" si="80"/>
        <v>0.35</v>
      </c>
      <c r="K338" s="357">
        <f t="shared" si="81"/>
        <v>0</v>
      </c>
      <c r="L338" s="331">
        <f t="shared" si="82"/>
        <v>0</v>
      </c>
      <c r="M338" s="814">
        <v>4.0000000000000001E-3</v>
      </c>
      <c r="N338" s="815"/>
      <c r="O338" s="444">
        <v>0.3</v>
      </c>
      <c r="R338" s="57"/>
      <c r="S338" s="57"/>
      <c r="T338" s="57"/>
    </row>
    <row r="339" spans="1:20" s="92" customFormat="1" ht="43.5" customHeight="1">
      <c r="A339" s="401" t="s">
        <v>809</v>
      </c>
      <c r="B339" s="716" t="s">
        <v>408</v>
      </c>
      <c r="C339" s="717"/>
      <c r="D339" s="718"/>
      <c r="E339" s="716" t="s">
        <v>719</v>
      </c>
      <c r="F339" s="717"/>
      <c r="G339" s="718"/>
      <c r="H339" s="160"/>
      <c r="I339" s="351"/>
      <c r="J339" s="145">
        <f t="shared" si="80"/>
        <v>0.35</v>
      </c>
      <c r="K339" s="357">
        <f t="shared" si="81"/>
        <v>0</v>
      </c>
      <c r="L339" s="331">
        <f t="shared" si="82"/>
        <v>0</v>
      </c>
      <c r="M339" s="814">
        <v>4.0000000000000001E-3</v>
      </c>
      <c r="N339" s="815"/>
      <c r="O339" s="444">
        <v>0.3</v>
      </c>
      <c r="R339" s="57"/>
      <c r="S339" s="57"/>
      <c r="T339" s="57"/>
    </row>
    <row r="340" spans="1:20" s="92" customFormat="1" ht="43.5" customHeight="1">
      <c r="A340" s="401" t="s">
        <v>1576</v>
      </c>
      <c r="B340" s="716" t="s">
        <v>408</v>
      </c>
      <c r="C340" s="717"/>
      <c r="D340" s="718"/>
      <c r="E340" s="716" t="s">
        <v>719</v>
      </c>
      <c r="F340" s="717"/>
      <c r="G340" s="718"/>
      <c r="H340" s="160"/>
      <c r="I340" s="351"/>
      <c r="J340" s="145">
        <f t="shared" si="80"/>
        <v>0.35</v>
      </c>
      <c r="K340" s="357">
        <f t="shared" si="81"/>
        <v>0</v>
      </c>
      <c r="L340" s="331">
        <f t="shared" si="82"/>
        <v>0</v>
      </c>
      <c r="M340" s="814">
        <v>4.0000000000000001E-3</v>
      </c>
      <c r="N340" s="815"/>
      <c r="O340" s="444">
        <v>0.3</v>
      </c>
      <c r="R340" s="57"/>
      <c r="S340" s="57"/>
      <c r="T340" s="57"/>
    </row>
    <row r="341" spans="1:20" s="32" customFormat="1" ht="43.5" customHeight="1">
      <c r="A341" s="401" t="s">
        <v>1624</v>
      </c>
      <c r="B341" s="716" t="s">
        <v>13</v>
      </c>
      <c r="C341" s="717"/>
      <c r="D341" s="718"/>
      <c r="E341" s="716" t="s">
        <v>412</v>
      </c>
      <c r="F341" s="717"/>
      <c r="G341" s="718"/>
      <c r="H341" s="160"/>
      <c r="I341" s="351">
        <v>7630</v>
      </c>
      <c r="J341" s="145">
        <f t="shared" si="80"/>
        <v>0.35</v>
      </c>
      <c r="K341" s="357">
        <f t="shared" si="81"/>
        <v>4959.5</v>
      </c>
      <c r="L341" s="331">
        <f t="shared" si="82"/>
        <v>0</v>
      </c>
      <c r="M341" s="814">
        <v>1.4E-2</v>
      </c>
      <c r="N341" s="815"/>
      <c r="O341" s="444">
        <v>2</v>
      </c>
      <c r="R341" s="57"/>
      <c r="S341" s="57"/>
      <c r="T341" s="57"/>
    </row>
    <row r="342" spans="1:20" s="32" customFormat="1" ht="43.5" customHeight="1">
      <c r="A342" s="401" t="s">
        <v>810</v>
      </c>
      <c r="B342" s="716" t="s">
        <v>152</v>
      </c>
      <c r="C342" s="717"/>
      <c r="D342" s="718"/>
      <c r="E342" s="716" t="s">
        <v>720</v>
      </c>
      <c r="F342" s="717"/>
      <c r="G342" s="718"/>
      <c r="H342" s="160"/>
      <c r="I342" s="351"/>
      <c r="J342" s="145">
        <f t="shared" si="80"/>
        <v>0.35</v>
      </c>
      <c r="K342" s="357">
        <f t="shared" si="81"/>
        <v>0</v>
      </c>
      <c r="L342" s="331">
        <f t="shared" si="82"/>
        <v>0</v>
      </c>
      <c r="M342" s="814">
        <v>1.4E-2</v>
      </c>
      <c r="N342" s="815"/>
      <c r="O342" s="444">
        <v>2</v>
      </c>
      <c r="R342" s="57"/>
      <c r="S342" s="57"/>
      <c r="T342" s="57"/>
    </row>
    <row r="343" spans="1:20" s="32" customFormat="1" ht="43.5" customHeight="1">
      <c r="A343" s="401" t="s">
        <v>1625</v>
      </c>
      <c r="B343" s="716" t="s">
        <v>14</v>
      </c>
      <c r="C343" s="717"/>
      <c r="D343" s="718"/>
      <c r="E343" s="716" t="s">
        <v>412</v>
      </c>
      <c r="F343" s="717"/>
      <c r="G343" s="718"/>
      <c r="H343" s="160"/>
      <c r="I343" s="351">
        <v>2736</v>
      </c>
      <c r="J343" s="145">
        <f t="shared" si="80"/>
        <v>0.35</v>
      </c>
      <c r="K343" s="357">
        <f t="shared" si="81"/>
        <v>1778.4</v>
      </c>
      <c r="L343" s="331">
        <f t="shared" si="82"/>
        <v>0</v>
      </c>
      <c r="M343" s="814">
        <v>1.4E-2</v>
      </c>
      <c r="N343" s="815"/>
      <c r="O343" s="444">
        <v>2</v>
      </c>
      <c r="R343" s="57"/>
      <c r="S343" s="57"/>
      <c r="T343" s="57"/>
    </row>
    <row r="344" spans="1:20" s="92" customFormat="1" ht="43.5" customHeight="1">
      <c r="A344" s="401" t="s">
        <v>1577</v>
      </c>
      <c r="B344" s="716" t="s">
        <v>14</v>
      </c>
      <c r="C344" s="717"/>
      <c r="D344" s="718"/>
      <c r="E344" s="716" t="s">
        <v>412</v>
      </c>
      <c r="F344" s="717"/>
      <c r="G344" s="718"/>
      <c r="H344" s="160"/>
      <c r="I344" s="351"/>
      <c r="J344" s="145">
        <f t="shared" ref="J344:J365" si="83">$D$3</f>
        <v>0.35</v>
      </c>
      <c r="K344" s="357">
        <f t="shared" ref="K344:K365" si="84">I344-I344*$D$3</f>
        <v>0</v>
      </c>
      <c r="L344" s="331">
        <f t="shared" ref="L344:L365" si="85">H344*K344</f>
        <v>0</v>
      </c>
      <c r="M344" s="814">
        <v>1.4E-2</v>
      </c>
      <c r="N344" s="815"/>
      <c r="O344" s="444">
        <v>2</v>
      </c>
      <c r="R344" s="57"/>
      <c r="S344" s="57"/>
      <c r="T344" s="57"/>
    </row>
    <row r="345" spans="1:20" s="32" customFormat="1" ht="43.5" customHeight="1">
      <c r="A345" s="401" t="s">
        <v>1578</v>
      </c>
      <c r="B345" s="716" t="s">
        <v>12</v>
      </c>
      <c r="C345" s="717"/>
      <c r="D345" s="718"/>
      <c r="E345" s="716" t="s">
        <v>402</v>
      </c>
      <c r="F345" s="717"/>
      <c r="G345" s="718"/>
      <c r="H345" s="160"/>
      <c r="I345" s="351">
        <v>3455</v>
      </c>
      <c r="J345" s="145">
        <f t="shared" si="83"/>
        <v>0.35</v>
      </c>
      <c r="K345" s="357">
        <f t="shared" si="84"/>
        <v>2245.75</v>
      </c>
      <c r="L345" s="331">
        <f t="shared" si="85"/>
        <v>0</v>
      </c>
      <c r="M345" s="814">
        <v>4.0000000000000001E-3</v>
      </c>
      <c r="N345" s="815"/>
      <c r="O345" s="444">
        <v>1.5</v>
      </c>
      <c r="R345" s="57"/>
      <c r="S345" s="57"/>
      <c r="T345" s="57"/>
    </row>
    <row r="346" spans="1:20" s="32" customFormat="1" ht="43.5" customHeight="1">
      <c r="A346" s="401" t="s">
        <v>1579</v>
      </c>
      <c r="B346" s="716" t="s">
        <v>11</v>
      </c>
      <c r="C346" s="717"/>
      <c r="D346" s="718"/>
      <c r="E346" s="716" t="s">
        <v>411</v>
      </c>
      <c r="F346" s="717"/>
      <c r="G346" s="718"/>
      <c r="H346" s="160"/>
      <c r="I346" s="351">
        <v>934</v>
      </c>
      <c r="J346" s="145">
        <f t="shared" si="83"/>
        <v>0.35</v>
      </c>
      <c r="K346" s="357">
        <f t="shared" si="84"/>
        <v>607.1</v>
      </c>
      <c r="L346" s="331">
        <f t="shared" si="85"/>
        <v>0</v>
      </c>
      <c r="M346" s="814">
        <v>1.2E-2</v>
      </c>
      <c r="N346" s="815"/>
      <c r="O346" s="444">
        <v>1</v>
      </c>
      <c r="R346" s="57"/>
      <c r="S346" s="57"/>
      <c r="T346" s="57"/>
    </row>
    <row r="347" spans="1:20" s="32" customFormat="1" ht="43.5" customHeight="1">
      <c r="A347" s="401" t="s">
        <v>1580</v>
      </c>
      <c r="B347" s="716" t="s">
        <v>46</v>
      </c>
      <c r="C347" s="717"/>
      <c r="D347" s="718"/>
      <c r="E347" s="716" t="s">
        <v>411</v>
      </c>
      <c r="F347" s="717"/>
      <c r="G347" s="718"/>
      <c r="H347" s="160"/>
      <c r="I347" s="351">
        <v>1346</v>
      </c>
      <c r="J347" s="145">
        <f t="shared" si="83"/>
        <v>0.35</v>
      </c>
      <c r="K347" s="357">
        <f t="shared" si="84"/>
        <v>874.90000000000009</v>
      </c>
      <c r="L347" s="331">
        <f t="shared" si="85"/>
        <v>0</v>
      </c>
      <c r="M347" s="814">
        <v>1.2E-2</v>
      </c>
      <c r="N347" s="815"/>
      <c r="O347" s="444">
        <v>1</v>
      </c>
      <c r="R347" s="57"/>
      <c r="S347" s="57"/>
      <c r="T347" s="57"/>
    </row>
    <row r="348" spans="1:20" s="32" customFormat="1" ht="43.5" customHeight="1">
      <c r="A348" s="401" t="s">
        <v>1581</v>
      </c>
      <c r="B348" s="716" t="s">
        <v>52</v>
      </c>
      <c r="C348" s="717"/>
      <c r="D348" s="718"/>
      <c r="E348" s="716" t="s">
        <v>413</v>
      </c>
      <c r="F348" s="717"/>
      <c r="G348" s="718"/>
      <c r="H348" s="160"/>
      <c r="I348" s="351">
        <v>1464</v>
      </c>
      <c r="J348" s="145">
        <f t="shared" si="83"/>
        <v>0.35</v>
      </c>
      <c r="K348" s="357">
        <f t="shared" si="84"/>
        <v>951.6</v>
      </c>
      <c r="L348" s="331">
        <f t="shared" si="85"/>
        <v>0</v>
      </c>
      <c r="M348" s="814">
        <v>1.2E-2</v>
      </c>
      <c r="N348" s="815"/>
      <c r="O348" s="444">
        <v>1</v>
      </c>
      <c r="R348" s="57"/>
      <c r="S348" s="57"/>
      <c r="T348" s="57"/>
    </row>
    <row r="349" spans="1:20" s="32" customFormat="1" ht="44.25" customHeight="1">
      <c r="A349" s="401" t="s">
        <v>1143</v>
      </c>
      <c r="B349" s="716" t="s">
        <v>721</v>
      </c>
      <c r="C349" s="717"/>
      <c r="D349" s="718"/>
      <c r="E349" s="716" t="s">
        <v>806</v>
      </c>
      <c r="F349" s="717"/>
      <c r="G349" s="718"/>
      <c r="H349" s="160"/>
      <c r="I349" s="354">
        <v>792</v>
      </c>
      <c r="J349" s="145">
        <f t="shared" si="83"/>
        <v>0.35</v>
      </c>
      <c r="K349" s="357">
        <f t="shared" si="84"/>
        <v>514.79999999999995</v>
      </c>
      <c r="L349" s="331">
        <f t="shared" si="85"/>
        <v>0</v>
      </c>
      <c r="M349" s="814">
        <v>1.6E-2</v>
      </c>
      <c r="N349" s="815"/>
      <c r="O349" s="444">
        <v>2</v>
      </c>
      <c r="R349" s="57"/>
      <c r="S349" s="57"/>
      <c r="T349" s="57"/>
    </row>
    <row r="350" spans="1:20" s="32" customFormat="1" ht="32.25" customHeight="1">
      <c r="A350" s="401" t="s">
        <v>1144</v>
      </c>
      <c r="B350" s="716" t="s">
        <v>244</v>
      </c>
      <c r="C350" s="717"/>
      <c r="D350" s="718"/>
      <c r="E350" s="716"/>
      <c r="F350" s="717"/>
      <c r="G350" s="718"/>
      <c r="H350" s="160"/>
      <c r="I350" s="354">
        <v>442</v>
      </c>
      <c r="J350" s="145">
        <f t="shared" si="83"/>
        <v>0.35</v>
      </c>
      <c r="K350" s="357">
        <f t="shared" si="84"/>
        <v>287.3</v>
      </c>
      <c r="L350" s="331">
        <f t="shared" si="85"/>
        <v>0</v>
      </c>
      <c r="M350" s="814">
        <v>1.6E-2</v>
      </c>
      <c r="N350" s="815"/>
      <c r="O350" s="444">
        <v>2</v>
      </c>
      <c r="R350" s="57"/>
      <c r="S350" s="57"/>
      <c r="T350" s="57"/>
    </row>
    <row r="351" spans="1:20" s="32" customFormat="1" ht="30.75" customHeight="1">
      <c r="A351" s="401" t="s">
        <v>1145</v>
      </c>
      <c r="B351" s="716" t="s">
        <v>243</v>
      </c>
      <c r="C351" s="717"/>
      <c r="D351" s="718"/>
      <c r="E351" s="716"/>
      <c r="F351" s="717"/>
      <c r="G351" s="718"/>
      <c r="H351" s="160"/>
      <c r="I351" s="354">
        <v>456</v>
      </c>
      <c r="J351" s="145">
        <f t="shared" si="83"/>
        <v>0.35</v>
      </c>
      <c r="K351" s="357">
        <f t="shared" si="84"/>
        <v>296.39999999999998</v>
      </c>
      <c r="L351" s="331">
        <f t="shared" si="85"/>
        <v>0</v>
      </c>
      <c r="M351" s="814">
        <v>6.0000000000000001E-3</v>
      </c>
      <c r="N351" s="815"/>
      <c r="O351" s="444">
        <v>0.27</v>
      </c>
      <c r="R351" s="57"/>
      <c r="S351" s="57"/>
      <c r="T351" s="57"/>
    </row>
    <row r="352" spans="1:20" s="32" customFormat="1" ht="25.5" customHeight="1">
      <c r="A352" s="401" t="s">
        <v>1146</v>
      </c>
      <c r="B352" s="716" t="s">
        <v>260</v>
      </c>
      <c r="C352" s="717"/>
      <c r="D352" s="718"/>
      <c r="E352" s="716"/>
      <c r="F352" s="717"/>
      <c r="G352" s="718"/>
      <c r="H352" s="160"/>
      <c r="I352" s="351">
        <v>590</v>
      </c>
      <c r="J352" s="145">
        <f t="shared" si="83"/>
        <v>0.35</v>
      </c>
      <c r="K352" s="357">
        <f t="shared" si="84"/>
        <v>383.5</v>
      </c>
      <c r="L352" s="331">
        <f t="shared" si="85"/>
        <v>0</v>
      </c>
      <c r="M352" s="814">
        <v>6.0000000000000001E-3</v>
      </c>
      <c r="N352" s="815"/>
      <c r="O352" s="444">
        <v>0.27</v>
      </c>
      <c r="R352" s="57"/>
      <c r="S352" s="57"/>
      <c r="T352" s="57"/>
    </row>
    <row r="353" spans="1:20" s="92" customFormat="1" ht="25.5" customHeight="1">
      <c r="A353" s="401" t="s">
        <v>1382</v>
      </c>
      <c r="B353" s="716" t="s">
        <v>260</v>
      </c>
      <c r="C353" s="717"/>
      <c r="D353" s="718"/>
      <c r="E353" s="716" t="s">
        <v>814</v>
      </c>
      <c r="F353" s="717"/>
      <c r="G353" s="718"/>
      <c r="H353" s="160"/>
      <c r="I353" s="351">
        <v>156</v>
      </c>
      <c r="J353" s="145">
        <f t="shared" si="83"/>
        <v>0.35</v>
      </c>
      <c r="K353" s="357">
        <f t="shared" si="84"/>
        <v>101.4</v>
      </c>
      <c r="L353" s="331">
        <f t="shared" si="85"/>
        <v>0</v>
      </c>
      <c r="M353" s="814">
        <v>1.6E-2</v>
      </c>
      <c r="N353" s="815"/>
      <c r="O353" s="444">
        <v>1.5</v>
      </c>
      <c r="R353" s="57"/>
      <c r="S353" s="57"/>
      <c r="T353" s="57"/>
    </row>
    <row r="354" spans="1:20" s="32" customFormat="1" ht="25.5" customHeight="1">
      <c r="A354" s="401" t="s">
        <v>1582</v>
      </c>
      <c r="B354" s="716" t="s">
        <v>414</v>
      </c>
      <c r="C354" s="717"/>
      <c r="D354" s="718"/>
      <c r="E354" s="716" t="s">
        <v>722</v>
      </c>
      <c r="F354" s="717"/>
      <c r="G354" s="718"/>
      <c r="H354" s="160"/>
      <c r="I354" s="351"/>
      <c r="J354" s="145">
        <f t="shared" si="83"/>
        <v>0.35</v>
      </c>
      <c r="K354" s="357">
        <f t="shared" si="84"/>
        <v>0</v>
      </c>
      <c r="L354" s="331">
        <f t="shared" si="85"/>
        <v>0</v>
      </c>
      <c r="M354" s="814">
        <v>6.0000000000000001E-3</v>
      </c>
      <c r="N354" s="815"/>
      <c r="O354" s="444">
        <v>0.27</v>
      </c>
      <c r="R354" s="57"/>
      <c r="S354" s="57"/>
      <c r="T354" s="57"/>
    </row>
    <row r="355" spans="1:20" s="32" customFormat="1" ht="25.5" customHeight="1">
      <c r="A355" s="401" t="s">
        <v>1583</v>
      </c>
      <c r="B355" s="716" t="s">
        <v>414</v>
      </c>
      <c r="C355" s="717"/>
      <c r="D355" s="718"/>
      <c r="E355" s="716" t="s">
        <v>717</v>
      </c>
      <c r="F355" s="717"/>
      <c r="G355" s="718"/>
      <c r="H355" s="160"/>
      <c r="I355" s="351"/>
      <c r="J355" s="145">
        <f t="shared" si="83"/>
        <v>0.35</v>
      </c>
      <c r="K355" s="357">
        <f t="shared" si="84"/>
        <v>0</v>
      </c>
      <c r="L355" s="331">
        <f t="shared" si="85"/>
        <v>0</v>
      </c>
      <c r="M355" s="814">
        <v>6.0000000000000001E-3</v>
      </c>
      <c r="N355" s="815"/>
      <c r="O355" s="444">
        <v>0.27</v>
      </c>
      <c r="R355" s="57"/>
      <c r="S355" s="57"/>
      <c r="T355" s="57"/>
    </row>
    <row r="356" spans="1:20" s="32" customFormat="1" ht="35.25" customHeight="1">
      <c r="A356" s="401" t="s">
        <v>1584</v>
      </c>
      <c r="B356" s="716" t="s">
        <v>414</v>
      </c>
      <c r="C356" s="717"/>
      <c r="D356" s="718"/>
      <c r="E356" s="716" t="s">
        <v>409</v>
      </c>
      <c r="F356" s="717"/>
      <c r="G356" s="718"/>
      <c r="H356" s="160"/>
      <c r="I356" s="351">
        <v>41</v>
      </c>
      <c r="J356" s="145">
        <f t="shared" si="83"/>
        <v>0.35</v>
      </c>
      <c r="K356" s="357">
        <f t="shared" si="84"/>
        <v>26.65</v>
      </c>
      <c r="L356" s="331">
        <f t="shared" si="85"/>
        <v>0</v>
      </c>
      <c r="M356" s="814">
        <v>6.0000000000000001E-3</v>
      </c>
      <c r="N356" s="815"/>
      <c r="O356" s="444">
        <v>0.27</v>
      </c>
      <c r="R356" s="57"/>
      <c r="S356" s="57"/>
      <c r="T356" s="57"/>
    </row>
    <row r="357" spans="1:20" s="32" customFormat="1" ht="35.25" customHeight="1">
      <c r="A357" s="401" t="s">
        <v>1585</v>
      </c>
      <c r="B357" s="716" t="s">
        <v>414</v>
      </c>
      <c r="C357" s="717"/>
      <c r="D357" s="718"/>
      <c r="E357" s="716" t="s">
        <v>409</v>
      </c>
      <c r="F357" s="717"/>
      <c r="G357" s="718"/>
      <c r="H357" s="160"/>
      <c r="I357" s="351"/>
      <c r="J357" s="145">
        <f t="shared" si="83"/>
        <v>0.35</v>
      </c>
      <c r="K357" s="357">
        <f t="shared" si="84"/>
        <v>0</v>
      </c>
      <c r="L357" s="331">
        <f t="shared" si="85"/>
        <v>0</v>
      </c>
      <c r="M357" s="814">
        <v>6.0000000000000001E-3</v>
      </c>
      <c r="N357" s="815"/>
      <c r="O357" s="444">
        <v>0.27</v>
      </c>
      <c r="R357" s="57"/>
      <c r="S357" s="57"/>
      <c r="T357" s="57"/>
    </row>
    <row r="358" spans="1:20" s="32" customFormat="1" ht="35.25" customHeight="1">
      <c r="A358" s="401" t="s">
        <v>1586</v>
      </c>
      <c r="B358" s="716" t="s">
        <v>414</v>
      </c>
      <c r="C358" s="717"/>
      <c r="D358" s="718"/>
      <c r="E358" s="716" t="s">
        <v>409</v>
      </c>
      <c r="F358" s="717"/>
      <c r="G358" s="718"/>
      <c r="H358" s="160"/>
      <c r="I358" s="351">
        <v>41</v>
      </c>
      <c r="J358" s="145">
        <f t="shared" si="83"/>
        <v>0.35</v>
      </c>
      <c r="K358" s="357">
        <f t="shared" si="84"/>
        <v>26.65</v>
      </c>
      <c r="L358" s="331">
        <f t="shared" si="85"/>
        <v>0</v>
      </c>
      <c r="M358" s="814">
        <v>6.0000000000000001E-3</v>
      </c>
      <c r="N358" s="815"/>
      <c r="O358" s="444">
        <v>0.27</v>
      </c>
      <c r="R358" s="57"/>
      <c r="S358" s="57"/>
      <c r="T358" s="57"/>
    </row>
    <row r="359" spans="1:20" s="32" customFormat="1" ht="35.25" customHeight="1">
      <c r="A359" s="401" t="s">
        <v>1587</v>
      </c>
      <c r="B359" s="716" t="s">
        <v>414</v>
      </c>
      <c r="C359" s="717"/>
      <c r="D359" s="718"/>
      <c r="E359" s="716" t="s">
        <v>409</v>
      </c>
      <c r="F359" s="717"/>
      <c r="G359" s="718"/>
      <c r="H359" s="160"/>
      <c r="I359" s="351"/>
      <c r="J359" s="145">
        <f t="shared" si="83"/>
        <v>0.35</v>
      </c>
      <c r="K359" s="357">
        <f t="shared" si="84"/>
        <v>0</v>
      </c>
      <c r="L359" s="331">
        <f t="shared" si="85"/>
        <v>0</v>
      </c>
      <c r="M359" s="814">
        <v>6.0000000000000001E-3</v>
      </c>
      <c r="N359" s="815"/>
      <c r="O359" s="444">
        <v>0.27</v>
      </c>
      <c r="R359" s="57"/>
      <c r="S359" s="57"/>
      <c r="T359" s="57"/>
    </row>
    <row r="360" spans="1:20" s="32" customFormat="1" ht="35.25" customHeight="1">
      <c r="A360" s="401" t="s">
        <v>1588</v>
      </c>
      <c r="B360" s="716" t="s">
        <v>414</v>
      </c>
      <c r="C360" s="717"/>
      <c r="D360" s="718"/>
      <c r="E360" s="716" t="s">
        <v>409</v>
      </c>
      <c r="F360" s="717"/>
      <c r="G360" s="718"/>
      <c r="H360" s="160"/>
      <c r="I360" s="351"/>
      <c r="J360" s="145">
        <f t="shared" si="83"/>
        <v>0.35</v>
      </c>
      <c r="K360" s="357">
        <f t="shared" si="84"/>
        <v>0</v>
      </c>
      <c r="L360" s="331">
        <f t="shared" si="85"/>
        <v>0</v>
      </c>
      <c r="M360" s="814">
        <v>6.0000000000000001E-3</v>
      </c>
      <c r="N360" s="815"/>
      <c r="O360" s="444">
        <v>0.27</v>
      </c>
      <c r="R360" s="57"/>
      <c r="S360" s="57"/>
      <c r="T360" s="57"/>
    </row>
    <row r="361" spans="1:20" s="32" customFormat="1" ht="35.25" customHeight="1">
      <c r="A361" s="401" t="s">
        <v>1589</v>
      </c>
      <c r="B361" s="716" t="s">
        <v>414</v>
      </c>
      <c r="C361" s="717"/>
      <c r="D361" s="718"/>
      <c r="E361" s="716" t="s">
        <v>409</v>
      </c>
      <c r="F361" s="717"/>
      <c r="G361" s="718"/>
      <c r="H361" s="160"/>
      <c r="I361" s="351">
        <v>41</v>
      </c>
      <c r="J361" s="145">
        <f t="shared" si="83"/>
        <v>0.35</v>
      </c>
      <c r="K361" s="357">
        <f t="shared" si="84"/>
        <v>26.65</v>
      </c>
      <c r="L361" s="331">
        <f t="shared" si="85"/>
        <v>0</v>
      </c>
      <c r="M361" s="814">
        <v>6.0000000000000001E-3</v>
      </c>
      <c r="N361" s="815"/>
      <c r="O361" s="444">
        <v>0.27</v>
      </c>
      <c r="R361" s="57"/>
      <c r="S361" s="57"/>
      <c r="T361" s="57"/>
    </row>
    <row r="362" spans="1:20" s="32" customFormat="1" ht="35.25" customHeight="1">
      <c r="A362" s="401" t="s">
        <v>1590</v>
      </c>
      <c r="B362" s="716" t="s">
        <v>414</v>
      </c>
      <c r="C362" s="717"/>
      <c r="D362" s="718"/>
      <c r="E362" s="716" t="s">
        <v>409</v>
      </c>
      <c r="F362" s="717"/>
      <c r="G362" s="718"/>
      <c r="H362" s="160"/>
      <c r="I362" s="351">
        <v>41</v>
      </c>
      <c r="J362" s="145">
        <f t="shared" si="83"/>
        <v>0.35</v>
      </c>
      <c r="K362" s="357">
        <f t="shared" si="84"/>
        <v>26.65</v>
      </c>
      <c r="L362" s="331">
        <f t="shared" si="85"/>
        <v>0</v>
      </c>
      <c r="M362" s="814">
        <v>6.0000000000000001E-3</v>
      </c>
      <c r="N362" s="815"/>
      <c r="O362" s="444">
        <v>0.27</v>
      </c>
      <c r="R362" s="57"/>
      <c r="S362" s="57"/>
      <c r="T362" s="57"/>
    </row>
    <row r="363" spans="1:20" s="32" customFormat="1" ht="35.25" customHeight="1">
      <c r="A363" s="401" t="s">
        <v>1591</v>
      </c>
      <c r="B363" s="716" t="s">
        <v>415</v>
      </c>
      <c r="C363" s="717"/>
      <c r="D363" s="718"/>
      <c r="E363" s="716" t="s">
        <v>409</v>
      </c>
      <c r="F363" s="717"/>
      <c r="G363" s="718"/>
      <c r="H363" s="160"/>
      <c r="I363" s="351">
        <v>158</v>
      </c>
      <c r="J363" s="145">
        <f t="shared" si="83"/>
        <v>0.35</v>
      </c>
      <c r="K363" s="357">
        <f t="shared" si="84"/>
        <v>102.7</v>
      </c>
      <c r="L363" s="331">
        <f t="shared" si="85"/>
        <v>0</v>
      </c>
      <c r="M363" s="814">
        <v>6.0000000000000001E-3</v>
      </c>
      <c r="N363" s="815"/>
      <c r="O363" s="444">
        <v>0.27</v>
      </c>
      <c r="R363" s="57"/>
      <c r="S363" s="57"/>
      <c r="T363" s="57"/>
    </row>
    <row r="364" spans="1:20" s="32" customFormat="1" ht="53.25" customHeight="1">
      <c r="A364" s="401" t="s">
        <v>1389</v>
      </c>
      <c r="B364" s="716" t="s">
        <v>30</v>
      </c>
      <c r="C364" s="717"/>
      <c r="D364" s="718"/>
      <c r="E364" s="716" t="s">
        <v>488</v>
      </c>
      <c r="F364" s="717"/>
      <c r="G364" s="718"/>
      <c r="H364" s="160"/>
      <c r="I364" s="351">
        <v>107</v>
      </c>
      <c r="J364" s="145">
        <f t="shared" si="83"/>
        <v>0.35</v>
      </c>
      <c r="K364" s="357">
        <f t="shared" si="84"/>
        <v>69.550000000000011</v>
      </c>
      <c r="L364" s="331">
        <f t="shared" si="85"/>
        <v>0</v>
      </c>
      <c r="M364" s="814">
        <v>4.0000000000000001E-3</v>
      </c>
      <c r="N364" s="815"/>
      <c r="O364" s="444">
        <v>0.7</v>
      </c>
      <c r="R364" s="57"/>
      <c r="S364" s="57"/>
      <c r="T364" s="57"/>
    </row>
    <row r="365" spans="1:20" s="32" customFormat="1" ht="54.75" customHeight="1">
      <c r="A365" s="401" t="s">
        <v>1262</v>
      </c>
      <c r="B365" s="716" t="s">
        <v>30</v>
      </c>
      <c r="C365" s="717"/>
      <c r="D365" s="718"/>
      <c r="E365" s="716"/>
      <c r="F365" s="717"/>
      <c r="G365" s="718"/>
      <c r="H365" s="160"/>
      <c r="I365" s="351">
        <v>147</v>
      </c>
      <c r="J365" s="145">
        <f t="shared" si="83"/>
        <v>0.35</v>
      </c>
      <c r="K365" s="357">
        <f t="shared" si="84"/>
        <v>95.550000000000011</v>
      </c>
      <c r="L365" s="331">
        <f t="shared" si="85"/>
        <v>0</v>
      </c>
      <c r="M365" s="814">
        <v>3.0000000000000001E-3</v>
      </c>
      <c r="N365" s="815"/>
      <c r="O365" s="444">
        <v>0.6</v>
      </c>
      <c r="R365" s="57"/>
      <c r="S365" s="57"/>
      <c r="T365" s="57"/>
    </row>
    <row r="366" spans="1:20" s="32" customFormat="1" ht="13.75" customHeight="1">
      <c r="A366" s="449" t="s">
        <v>520</v>
      </c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450"/>
      <c r="R366" s="57"/>
      <c r="S366" s="57"/>
      <c r="T366" s="57"/>
    </row>
    <row r="367" spans="1:20" s="32" customFormat="1" ht="37.5" customHeight="1">
      <c r="A367" s="401" t="s">
        <v>1592</v>
      </c>
      <c r="B367" s="716" t="s">
        <v>426</v>
      </c>
      <c r="C367" s="717"/>
      <c r="D367" s="718"/>
      <c r="E367" s="716" t="s">
        <v>506</v>
      </c>
      <c r="F367" s="717"/>
      <c r="G367" s="718"/>
      <c r="H367" s="160"/>
      <c r="I367" s="351">
        <v>289</v>
      </c>
      <c r="J367" s="145">
        <f t="shared" ref="J367:J375" si="86">$D$3</f>
        <v>0.35</v>
      </c>
      <c r="K367" s="357">
        <f t="shared" ref="K367:K375" si="87">I367-I367*$D$3</f>
        <v>187.85000000000002</v>
      </c>
      <c r="L367" s="331">
        <f t="shared" ref="L367:L375" si="88">H367*K367</f>
        <v>0</v>
      </c>
      <c r="M367" s="814">
        <v>3.0000000000000001E-3</v>
      </c>
      <c r="N367" s="815"/>
      <c r="O367" s="444">
        <v>1.1000000000000001</v>
      </c>
      <c r="R367" s="57"/>
      <c r="S367" s="57"/>
      <c r="T367" s="57"/>
    </row>
    <row r="368" spans="1:20" s="32" customFormat="1" ht="37.5" customHeight="1">
      <c r="A368" s="401" t="s">
        <v>1593</v>
      </c>
      <c r="B368" s="716" t="s">
        <v>425</v>
      </c>
      <c r="C368" s="717"/>
      <c r="D368" s="718"/>
      <c r="E368" s="716" t="s">
        <v>424</v>
      </c>
      <c r="F368" s="717"/>
      <c r="G368" s="718"/>
      <c r="H368" s="160"/>
      <c r="I368" s="351">
        <v>90</v>
      </c>
      <c r="J368" s="145">
        <f t="shared" si="86"/>
        <v>0.35</v>
      </c>
      <c r="K368" s="357">
        <f t="shared" si="87"/>
        <v>58.5</v>
      </c>
      <c r="L368" s="331">
        <f t="shared" si="88"/>
        <v>0</v>
      </c>
      <c r="M368" s="814">
        <v>3.0000000000000001E-3</v>
      </c>
      <c r="N368" s="815"/>
      <c r="O368" s="444">
        <v>1.1000000000000001</v>
      </c>
      <c r="R368" s="57"/>
      <c r="S368" s="57"/>
      <c r="T368" s="57"/>
    </row>
    <row r="369" spans="1:20" s="32" customFormat="1" ht="37.5" customHeight="1">
      <c r="A369" s="401" t="s">
        <v>1594</v>
      </c>
      <c r="B369" s="716" t="s">
        <v>426</v>
      </c>
      <c r="C369" s="717"/>
      <c r="D369" s="718"/>
      <c r="E369" s="716" t="s">
        <v>427</v>
      </c>
      <c r="F369" s="717"/>
      <c r="G369" s="718"/>
      <c r="H369" s="160"/>
      <c r="I369" s="351">
        <v>112</v>
      </c>
      <c r="J369" s="145">
        <f t="shared" si="86"/>
        <v>0.35</v>
      </c>
      <c r="K369" s="357">
        <f t="shared" si="87"/>
        <v>72.800000000000011</v>
      </c>
      <c r="L369" s="331">
        <f t="shared" si="88"/>
        <v>0</v>
      </c>
      <c r="M369" s="814">
        <v>3.0000000000000001E-3</v>
      </c>
      <c r="N369" s="815"/>
      <c r="O369" s="444">
        <v>1.1000000000000001</v>
      </c>
      <c r="R369" s="57"/>
      <c r="S369" s="57"/>
      <c r="T369" s="57"/>
    </row>
    <row r="370" spans="1:20" s="32" customFormat="1" ht="37.5" customHeight="1">
      <c r="A370" s="401" t="s">
        <v>1595</v>
      </c>
      <c r="B370" s="716" t="s">
        <v>426</v>
      </c>
      <c r="C370" s="717"/>
      <c r="D370" s="718"/>
      <c r="E370" s="716" t="s">
        <v>428</v>
      </c>
      <c r="F370" s="717"/>
      <c r="G370" s="718"/>
      <c r="H370" s="160"/>
      <c r="I370" s="351">
        <v>128</v>
      </c>
      <c r="J370" s="145">
        <f t="shared" si="86"/>
        <v>0.35</v>
      </c>
      <c r="K370" s="357">
        <f t="shared" si="87"/>
        <v>83.2</v>
      </c>
      <c r="L370" s="331">
        <f t="shared" si="88"/>
        <v>0</v>
      </c>
      <c r="M370" s="814">
        <v>4.0000000000000001E-3</v>
      </c>
      <c r="N370" s="815"/>
      <c r="O370" s="444">
        <v>0.8</v>
      </c>
      <c r="R370" s="57"/>
      <c r="S370" s="57"/>
      <c r="T370" s="57"/>
    </row>
    <row r="371" spans="1:20" s="32" customFormat="1" ht="37.5" customHeight="1">
      <c r="A371" s="401" t="s">
        <v>1596</v>
      </c>
      <c r="B371" s="716" t="s">
        <v>425</v>
      </c>
      <c r="C371" s="717"/>
      <c r="D371" s="718"/>
      <c r="E371" s="716" t="s">
        <v>429</v>
      </c>
      <c r="F371" s="717"/>
      <c r="G371" s="718"/>
      <c r="H371" s="160"/>
      <c r="I371" s="351">
        <v>289</v>
      </c>
      <c r="J371" s="145">
        <f t="shared" si="86"/>
        <v>0.35</v>
      </c>
      <c r="K371" s="357">
        <f t="shared" si="87"/>
        <v>187.85000000000002</v>
      </c>
      <c r="L371" s="331">
        <f t="shared" si="88"/>
        <v>0</v>
      </c>
      <c r="M371" s="814">
        <v>4.0000000000000001E-3</v>
      </c>
      <c r="N371" s="815"/>
      <c r="O371" s="444">
        <v>0.8</v>
      </c>
      <c r="R371" s="57"/>
      <c r="S371" s="57"/>
      <c r="T371" s="57"/>
    </row>
    <row r="372" spans="1:20" s="32" customFormat="1" ht="37.5" customHeight="1">
      <c r="A372" s="401" t="s">
        <v>1597</v>
      </c>
      <c r="B372" s="716" t="s">
        <v>430</v>
      </c>
      <c r="C372" s="717"/>
      <c r="D372" s="718"/>
      <c r="E372" s="716" t="s">
        <v>431</v>
      </c>
      <c r="F372" s="717"/>
      <c r="G372" s="718"/>
      <c r="H372" s="160"/>
      <c r="I372" s="351">
        <v>202</v>
      </c>
      <c r="J372" s="145">
        <f t="shared" si="86"/>
        <v>0.35</v>
      </c>
      <c r="K372" s="357">
        <f t="shared" si="87"/>
        <v>131.30000000000001</v>
      </c>
      <c r="L372" s="331">
        <f t="shared" si="88"/>
        <v>0</v>
      </c>
      <c r="M372" s="814">
        <v>4.0000000000000001E-3</v>
      </c>
      <c r="N372" s="815"/>
      <c r="O372" s="444">
        <v>0.8</v>
      </c>
      <c r="R372" s="57"/>
      <c r="S372" s="57"/>
      <c r="T372" s="57"/>
    </row>
    <row r="373" spans="1:20" s="32" customFormat="1" ht="37.5" customHeight="1">
      <c r="A373" s="401" t="s">
        <v>1598</v>
      </c>
      <c r="B373" s="716" t="s">
        <v>430</v>
      </c>
      <c r="C373" s="717"/>
      <c r="D373" s="718"/>
      <c r="E373" s="716" t="s">
        <v>432</v>
      </c>
      <c r="F373" s="717"/>
      <c r="G373" s="718"/>
      <c r="H373" s="160"/>
      <c r="I373" s="351">
        <v>265</v>
      </c>
      <c r="J373" s="145">
        <f t="shared" si="86"/>
        <v>0.35</v>
      </c>
      <c r="K373" s="357">
        <f t="shared" si="87"/>
        <v>172.25</v>
      </c>
      <c r="L373" s="331">
        <f t="shared" si="88"/>
        <v>0</v>
      </c>
      <c r="M373" s="814">
        <v>4.0000000000000001E-3</v>
      </c>
      <c r="N373" s="815"/>
      <c r="O373" s="444">
        <v>0.8</v>
      </c>
      <c r="R373" s="57"/>
      <c r="S373" s="57"/>
      <c r="T373" s="57"/>
    </row>
    <row r="374" spans="1:20" s="32" customFormat="1" ht="37.5" customHeight="1">
      <c r="A374" s="401" t="s">
        <v>1599</v>
      </c>
      <c r="B374" s="716" t="s">
        <v>430</v>
      </c>
      <c r="C374" s="717"/>
      <c r="D374" s="718"/>
      <c r="E374" s="716" t="s">
        <v>434</v>
      </c>
      <c r="F374" s="717"/>
      <c r="G374" s="718"/>
      <c r="H374" s="160"/>
      <c r="I374" s="351">
        <v>229</v>
      </c>
      <c r="J374" s="145">
        <f t="shared" si="86"/>
        <v>0.35</v>
      </c>
      <c r="K374" s="357">
        <f t="shared" si="87"/>
        <v>148.85000000000002</v>
      </c>
      <c r="L374" s="331">
        <f t="shared" si="88"/>
        <v>0</v>
      </c>
      <c r="M374" s="814">
        <v>4.0000000000000001E-3</v>
      </c>
      <c r="N374" s="815"/>
      <c r="O374" s="444">
        <v>0.8</v>
      </c>
      <c r="R374" s="57"/>
      <c r="S374" s="57"/>
      <c r="T374" s="57"/>
    </row>
    <row r="375" spans="1:20" s="32" customFormat="1" ht="37.5" customHeight="1">
      <c r="A375" s="401" t="s">
        <v>1600</v>
      </c>
      <c r="B375" s="716" t="s">
        <v>430</v>
      </c>
      <c r="C375" s="717"/>
      <c r="D375" s="718"/>
      <c r="E375" s="716" t="s">
        <v>433</v>
      </c>
      <c r="F375" s="717"/>
      <c r="G375" s="718"/>
      <c r="H375" s="160"/>
      <c r="I375" s="351">
        <v>292</v>
      </c>
      <c r="J375" s="145">
        <f t="shared" si="86"/>
        <v>0.35</v>
      </c>
      <c r="K375" s="357">
        <f t="shared" si="87"/>
        <v>189.8</v>
      </c>
      <c r="L375" s="331">
        <f t="shared" si="88"/>
        <v>0</v>
      </c>
      <c r="M375" s="814">
        <v>4.0000000000000001E-3</v>
      </c>
      <c r="N375" s="815"/>
      <c r="O375" s="444">
        <v>0.8</v>
      </c>
      <c r="R375" s="57"/>
      <c r="S375" s="57"/>
      <c r="T375" s="57"/>
    </row>
    <row r="376" spans="1:20" s="32" customFormat="1" ht="13.75" customHeight="1">
      <c r="A376" s="449" t="s">
        <v>521</v>
      </c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450"/>
      <c r="R376" s="57"/>
      <c r="S376" s="57"/>
      <c r="T376" s="57"/>
    </row>
    <row r="377" spans="1:20" s="32" customFormat="1" ht="45" customHeight="1">
      <c r="A377" s="401" t="s">
        <v>1601</v>
      </c>
      <c r="B377" s="716" t="s">
        <v>426</v>
      </c>
      <c r="C377" s="717"/>
      <c r="D377" s="718"/>
      <c r="E377" s="716" t="s">
        <v>435</v>
      </c>
      <c r="F377" s="717"/>
      <c r="G377" s="718"/>
      <c r="H377" s="160"/>
      <c r="I377" s="351">
        <v>639</v>
      </c>
      <c r="J377" s="145">
        <f t="shared" ref="J377:J384" si="89">$D$3</f>
        <v>0.35</v>
      </c>
      <c r="K377" s="357">
        <f t="shared" ref="K377:K384" si="90">I377-I377*$D$3</f>
        <v>415.35</v>
      </c>
      <c r="L377" s="331">
        <f t="shared" ref="L377:L384" si="91">H377*K377</f>
        <v>0</v>
      </c>
      <c r="M377" s="814">
        <v>0.03</v>
      </c>
      <c r="N377" s="815"/>
      <c r="O377" s="444">
        <v>2.6</v>
      </c>
      <c r="R377" s="57"/>
      <c r="S377" s="57"/>
      <c r="T377" s="57"/>
    </row>
    <row r="378" spans="1:20" s="32" customFormat="1" ht="45" customHeight="1">
      <c r="A378" s="401" t="s">
        <v>1602</v>
      </c>
      <c r="B378" s="716" t="s">
        <v>426</v>
      </c>
      <c r="C378" s="717"/>
      <c r="D378" s="718"/>
      <c r="E378" s="716" t="s">
        <v>436</v>
      </c>
      <c r="F378" s="717"/>
      <c r="G378" s="718"/>
      <c r="H378" s="160"/>
      <c r="I378" s="351">
        <v>158</v>
      </c>
      <c r="J378" s="145">
        <f t="shared" si="89"/>
        <v>0.35</v>
      </c>
      <c r="K378" s="357">
        <f t="shared" si="90"/>
        <v>102.7</v>
      </c>
      <c r="L378" s="331">
        <f t="shared" si="91"/>
        <v>0</v>
      </c>
      <c r="M378" s="814">
        <v>0.03</v>
      </c>
      <c r="N378" s="815"/>
      <c r="O378" s="444">
        <v>2.6</v>
      </c>
      <c r="R378" s="57"/>
      <c r="S378" s="57"/>
      <c r="T378" s="57"/>
    </row>
    <row r="379" spans="1:20" s="32" customFormat="1" ht="45" customHeight="1">
      <c r="A379" s="401" t="s">
        <v>1603</v>
      </c>
      <c r="B379" s="716" t="s">
        <v>425</v>
      </c>
      <c r="C379" s="717"/>
      <c r="D379" s="718"/>
      <c r="E379" s="716" t="s">
        <v>437</v>
      </c>
      <c r="F379" s="717"/>
      <c r="G379" s="718"/>
      <c r="H379" s="160"/>
      <c r="I379" s="351">
        <v>194</v>
      </c>
      <c r="J379" s="145">
        <f t="shared" si="89"/>
        <v>0.35</v>
      </c>
      <c r="K379" s="357">
        <f t="shared" si="90"/>
        <v>126.10000000000001</v>
      </c>
      <c r="L379" s="331">
        <f t="shared" si="91"/>
        <v>0</v>
      </c>
      <c r="M379" s="814">
        <v>0.03</v>
      </c>
      <c r="N379" s="815"/>
      <c r="O379" s="444">
        <v>2.6</v>
      </c>
      <c r="R379" s="57"/>
      <c r="S379" s="57"/>
      <c r="T379" s="57"/>
    </row>
    <row r="380" spans="1:20" s="32" customFormat="1" ht="45" customHeight="1">
      <c r="A380" s="401" t="s">
        <v>1604</v>
      </c>
      <c r="B380" s="716" t="s">
        <v>425</v>
      </c>
      <c r="C380" s="717"/>
      <c r="D380" s="718"/>
      <c r="E380" s="716" t="s">
        <v>438</v>
      </c>
      <c r="F380" s="717"/>
      <c r="G380" s="718"/>
      <c r="H380" s="160"/>
      <c r="I380" s="351">
        <v>464</v>
      </c>
      <c r="J380" s="145">
        <f t="shared" si="89"/>
        <v>0.35</v>
      </c>
      <c r="K380" s="357">
        <f t="shared" si="90"/>
        <v>301.60000000000002</v>
      </c>
      <c r="L380" s="331">
        <f t="shared" si="91"/>
        <v>0</v>
      </c>
      <c r="M380" s="814">
        <v>0.03</v>
      </c>
      <c r="N380" s="815"/>
      <c r="O380" s="444">
        <v>2.6</v>
      </c>
      <c r="R380" s="57"/>
      <c r="S380" s="57"/>
      <c r="T380" s="57"/>
    </row>
    <row r="381" spans="1:20" s="32" customFormat="1" ht="45" customHeight="1">
      <c r="A381" s="401" t="s">
        <v>1605</v>
      </c>
      <c r="B381" s="716" t="s">
        <v>430</v>
      </c>
      <c r="C381" s="717"/>
      <c r="D381" s="718"/>
      <c r="E381" s="716" t="s">
        <v>507</v>
      </c>
      <c r="F381" s="717"/>
      <c r="G381" s="718"/>
      <c r="H381" s="160"/>
      <c r="I381" s="351">
        <v>202</v>
      </c>
      <c r="J381" s="145">
        <f t="shared" si="89"/>
        <v>0.35</v>
      </c>
      <c r="K381" s="357">
        <f t="shared" si="90"/>
        <v>131.30000000000001</v>
      </c>
      <c r="L381" s="331">
        <f t="shared" si="91"/>
        <v>0</v>
      </c>
      <c r="M381" s="814">
        <v>0.03</v>
      </c>
      <c r="N381" s="815"/>
      <c r="O381" s="444">
        <v>2.6</v>
      </c>
      <c r="R381" s="57"/>
      <c r="S381" s="57"/>
      <c r="T381" s="57"/>
    </row>
    <row r="382" spans="1:20" s="32" customFormat="1" ht="45" customHeight="1">
      <c r="A382" s="401" t="s">
        <v>1606</v>
      </c>
      <c r="B382" s="716" t="s">
        <v>439</v>
      </c>
      <c r="C382" s="717"/>
      <c r="D382" s="718"/>
      <c r="E382" s="716" t="s">
        <v>508</v>
      </c>
      <c r="F382" s="717"/>
      <c r="G382" s="718"/>
      <c r="H382" s="160"/>
      <c r="I382" s="351">
        <v>229</v>
      </c>
      <c r="J382" s="145">
        <f t="shared" si="89"/>
        <v>0.35</v>
      </c>
      <c r="K382" s="357">
        <f t="shared" si="90"/>
        <v>148.85000000000002</v>
      </c>
      <c r="L382" s="331">
        <f t="shared" si="91"/>
        <v>0</v>
      </c>
      <c r="M382" s="814">
        <v>0.03</v>
      </c>
      <c r="N382" s="815"/>
      <c r="O382" s="444">
        <v>3</v>
      </c>
      <c r="R382" s="57"/>
      <c r="S382" s="57"/>
      <c r="T382" s="57"/>
    </row>
    <row r="383" spans="1:20" s="32" customFormat="1" ht="45" customHeight="1">
      <c r="A383" s="401" t="s">
        <v>1607</v>
      </c>
      <c r="B383" s="716" t="s">
        <v>430</v>
      </c>
      <c r="C383" s="717"/>
      <c r="D383" s="718"/>
      <c r="E383" s="716" t="s">
        <v>509</v>
      </c>
      <c r="F383" s="717"/>
      <c r="G383" s="718"/>
      <c r="H383" s="160"/>
      <c r="I383" s="351">
        <v>265</v>
      </c>
      <c r="J383" s="145">
        <f t="shared" si="89"/>
        <v>0.35</v>
      </c>
      <c r="K383" s="357">
        <f t="shared" si="90"/>
        <v>172.25</v>
      </c>
      <c r="L383" s="331">
        <f t="shared" si="91"/>
        <v>0</v>
      </c>
      <c r="M383" s="814">
        <v>0.03</v>
      </c>
      <c r="N383" s="815"/>
      <c r="O383" s="444">
        <v>3.3</v>
      </c>
      <c r="R383" s="57"/>
      <c r="S383" s="57"/>
      <c r="T383" s="57"/>
    </row>
    <row r="384" spans="1:20" s="32" customFormat="1" ht="45" customHeight="1">
      <c r="A384" s="401" t="s">
        <v>1608</v>
      </c>
      <c r="B384" s="716" t="s">
        <v>430</v>
      </c>
      <c r="C384" s="717"/>
      <c r="D384" s="718"/>
      <c r="E384" s="716" t="s">
        <v>510</v>
      </c>
      <c r="F384" s="717"/>
      <c r="G384" s="718"/>
      <c r="H384" s="160"/>
      <c r="I384" s="351">
        <v>292</v>
      </c>
      <c r="J384" s="145">
        <f t="shared" si="89"/>
        <v>0.35</v>
      </c>
      <c r="K384" s="357">
        <f t="shared" si="90"/>
        <v>189.8</v>
      </c>
      <c r="L384" s="331">
        <f t="shared" si="91"/>
        <v>0</v>
      </c>
      <c r="M384" s="814">
        <v>0.03</v>
      </c>
      <c r="N384" s="815"/>
      <c r="O384" s="444">
        <v>3.8</v>
      </c>
      <c r="R384" s="57"/>
      <c r="S384" s="57"/>
      <c r="T384" s="57"/>
    </row>
    <row r="385" spans="1:20" s="32" customFormat="1" ht="13.75" customHeight="1">
      <c r="A385" s="449" t="s">
        <v>522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450"/>
      <c r="R385" s="57"/>
      <c r="S385" s="57"/>
      <c r="T385" s="57"/>
    </row>
    <row r="386" spans="1:20" s="32" customFormat="1" ht="15.65" customHeight="1">
      <c r="A386" s="401" t="s">
        <v>1609</v>
      </c>
      <c r="B386" s="716" t="s">
        <v>440</v>
      </c>
      <c r="C386" s="717"/>
      <c r="D386" s="718"/>
      <c r="E386" s="716" t="s">
        <v>443</v>
      </c>
      <c r="F386" s="717"/>
      <c r="G386" s="718"/>
      <c r="H386" s="160"/>
      <c r="I386" s="351">
        <v>907</v>
      </c>
      <c r="J386" s="145">
        <f>$D$3</f>
        <v>0.35</v>
      </c>
      <c r="K386" s="357">
        <f>I386-I386*$D$3</f>
        <v>589.54999999999995</v>
      </c>
      <c r="L386" s="331">
        <f>H386*K386</f>
        <v>0</v>
      </c>
      <c r="M386" s="814">
        <v>0.08</v>
      </c>
      <c r="N386" s="815"/>
      <c r="O386" s="444">
        <v>9.5</v>
      </c>
      <c r="R386" s="57"/>
      <c r="S386" s="57"/>
      <c r="T386" s="57"/>
    </row>
    <row r="387" spans="1:20" s="32" customFormat="1" ht="15.65" customHeight="1">
      <c r="A387" s="401" t="s">
        <v>1610</v>
      </c>
      <c r="B387" s="716" t="s">
        <v>441</v>
      </c>
      <c r="C387" s="717"/>
      <c r="D387" s="718"/>
      <c r="E387" s="716" t="s">
        <v>444</v>
      </c>
      <c r="F387" s="717"/>
      <c r="G387" s="718"/>
      <c r="H387" s="160"/>
      <c r="I387" s="351">
        <v>1073</v>
      </c>
      <c r="J387" s="145">
        <f>$D$3</f>
        <v>0.35</v>
      </c>
      <c r="K387" s="357">
        <f>I387-I387*$D$3</f>
        <v>697.45</v>
      </c>
      <c r="L387" s="331">
        <f>H387*K387</f>
        <v>0</v>
      </c>
      <c r="M387" s="814">
        <v>8.5150000000000003E-2</v>
      </c>
      <c r="N387" s="815"/>
      <c r="O387" s="444">
        <v>10.5</v>
      </c>
      <c r="R387" s="57"/>
      <c r="S387" s="57"/>
      <c r="T387" s="57"/>
    </row>
    <row r="388" spans="1:20" s="32" customFormat="1" ht="15.65" customHeight="1">
      <c r="A388" s="401" t="s">
        <v>1611</v>
      </c>
      <c r="B388" s="716" t="s">
        <v>440</v>
      </c>
      <c r="C388" s="717"/>
      <c r="D388" s="718"/>
      <c r="E388" s="716" t="s">
        <v>445</v>
      </c>
      <c r="F388" s="717"/>
      <c r="G388" s="718"/>
      <c r="H388" s="160"/>
      <c r="I388" s="351">
        <v>2283</v>
      </c>
      <c r="J388" s="145">
        <f>$D$3</f>
        <v>0.35</v>
      </c>
      <c r="K388" s="357">
        <f>I388-I388*$D$3</f>
        <v>1483.95</v>
      </c>
      <c r="L388" s="331">
        <f>H388*K388</f>
        <v>0</v>
      </c>
      <c r="M388" s="814">
        <v>7.9839999999999994E-2</v>
      </c>
      <c r="N388" s="815"/>
      <c r="O388" s="444">
        <v>11</v>
      </c>
      <c r="R388" s="57"/>
      <c r="S388" s="57"/>
      <c r="T388" s="57"/>
    </row>
    <row r="389" spans="1:20" s="32" customFormat="1" ht="15.5">
      <c r="A389" s="401" t="s">
        <v>1612</v>
      </c>
      <c r="B389" s="716" t="s">
        <v>442</v>
      </c>
      <c r="C389" s="717"/>
      <c r="D389" s="718"/>
      <c r="E389" s="716" t="s">
        <v>446</v>
      </c>
      <c r="F389" s="717"/>
      <c r="G389" s="718"/>
      <c r="H389" s="160"/>
      <c r="I389" s="351">
        <v>3400</v>
      </c>
      <c r="J389" s="145">
        <f>$D$3</f>
        <v>0.35</v>
      </c>
      <c r="K389" s="357">
        <f>I389-I389*$D$3</f>
        <v>2210</v>
      </c>
      <c r="L389" s="331">
        <f>H389*K389</f>
        <v>0</v>
      </c>
      <c r="M389" s="814">
        <v>0.34125</v>
      </c>
      <c r="N389" s="815"/>
      <c r="O389" s="444">
        <v>39.5</v>
      </c>
      <c r="R389" s="57"/>
      <c r="S389" s="57"/>
      <c r="T389" s="57"/>
    </row>
    <row r="390" spans="1:20" s="32" customFormat="1" ht="14.5">
      <c r="A390" s="449" t="s">
        <v>523</v>
      </c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450"/>
      <c r="R390" s="57"/>
      <c r="S390" s="57"/>
      <c r="T390" s="57"/>
    </row>
    <row r="391" spans="1:20" s="32" customFormat="1" ht="15.5">
      <c r="A391" s="401" t="s">
        <v>1613</v>
      </c>
      <c r="B391" s="716" t="s">
        <v>475</v>
      </c>
      <c r="C391" s="717"/>
      <c r="D391" s="718"/>
      <c r="E391" s="716" t="s">
        <v>723</v>
      </c>
      <c r="F391" s="717"/>
      <c r="G391" s="718"/>
      <c r="H391" s="160"/>
      <c r="I391" s="351">
        <v>273</v>
      </c>
      <c r="J391" s="145">
        <f>$D$3</f>
        <v>0.35</v>
      </c>
      <c r="K391" s="357">
        <f>I391-I391*$D$3</f>
        <v>177.45</v>
      </c>
      <c r="L391" s="331">
        <f>H391*K391</f>
        <v>0</v>
      </c>
      <c r="M391" s="814">
        <v>2.6460000000000001E-2</v>
      </c>
      <c r="N391" s="815"/>
      <c r="O391" s="444">
        <v>3</v>
      </c>
      <c r="R391" s="57"/>
      <c r="S391" s="57"/>
      <c r="T391" s="57"/>
    </row>
    <row r="392" spans="1:20" s="32" customFormat="1" ht="15.5">
      <c r="A392" s="401" t="s">
        <v>1615</v>
      </c>
      <c r="B392" s="716" t="s">
        <v>475</v>
      </c>
      <c r="C392" s="717"/>
      <c r="D392" s="718"/>
      <c r="E392" s="716" t="s">
        <v>723</v>
      </c>
      <c r="F392" s="717"/>
      <c r="G392" s="718"/>
      <c r="H392" s="160"/>
      <c r="I392" s="351">
        <v>273</v>
      </c>
      <c r="J392" s="145">
        <f>$D$3</f>
        <v>0.35</v>
      </c>
      <c r="K392" s="357">
        <f>I392-I392*$D$3</f>
        <v>177.45</v>
      </c>
      <c r="L392" s="331">
        <f>H392*K392</f>
        <v>0</v>
      </c>
      <c r="M392" s="814">
        <v>2.6460000000000001E-2</v>
      </c>
      <c r="N392" s="815"/>
      <c r="O392" s="444">
        <v>3</v>
      </c>
      <c r="R392" s="57"/>
      <c r="S392" s="57"/>
      <c r="T392" s="57"/>
    </row>
    <row r="393" spans="1:20" s="32" customFormat="1" ht="15.5">
      <c r="A393" s="401" t="s">
        <v>1616</v>
      </c>
      <c r="B393" s="716" t="s">
        <v>475</v>
      </c>
      <c r="C393" s="717"/>
      <c r="D393" s="718"/>
      <c r="E393" s="716" t="s">
        <v>723</v>
      </c>
      <c r="F393" s="717"/>
      <c r="G393" s="718"/>
      <c r="H393" s="160"/>
      <c r="I393" s="351">
        <v>273</v>
      </c>
      <c r="J393" s="145">
        <f>$D$3</f>
        <v>0.35</v>
      </c>
      <c r="K393" s="357">
        <f>I393-I393*$D$3</f>
        <v>177.45</v>
      </c>
      <c r="L393" s="331">
        <f>H393*K393</f>
        <v>0</v>
      </c>
      <c r="M393" s="814">
        <v>2.6460000000000001E-2</v>
      </c>
      <c r="N393" s="815"/>
      <c r="O393" s="444">
        <v>3</v>
      </c>
      <c r="R393" s="57"/>
      <c r="S393" s="57"/>
      <c r="T393" s="57"/>
    </row>
    <row r="394" spans="1:20" s="32" customFormat="1" ht="15.65" customHeight="1">
      <c r="A394" s="401" t="s">
        <v>1614</v>
      </c>
      <c r="B394" s="716" t="s">
        <v>476</v>
      </c>
      <c r="C394" s="717"/>
      <c r="D394" s="718"/>
      <c r="E394" s="716" t="s">
        <v>474</v>
      </c>
      <c r="F394" s="717"/>
      <c r="G394" s="718"/>
      <c r="H394" s="160"/>
      <c r="I394" s="351">
        <v>1741</v>
      </c>
      <c r="J394" s="145">
        <f>$D$3</f>
        <v>0.35</v>
      </c>
      <c r="K394" s="357">
        <f>I394-I394*$D$3</f>
        <v>1131.6500000000001</v>
      </c>
      <c r="L394" s="331">
        <f>H394*K394</f>
        <v>0</v>
      </c>
      <c r="M394" s="814">
        <v>7.0000000000000007E-2</v>
      </c>
      <c r="N394" s="815"/>
      <c r="O394" s="444">
        <v>13</v>
      </c>
      <c r="R394" s="57"/>
      <c r="S394" s="57"/>
      <c r="T394" s="57"/>
    </row>
    <row r="395" spans="1:20" s="32" customFormat="1" ht="14.5">
      <c r="A395" s="449" t="s">
        <v>524</v>
      </c>
      <c r="B395" s="272"/>
      <c r="C395" s="272"/>
      <c r="D395" s="272"/>
      <c r="E395" s="816"/>
      <c r="F395" s="817"/>
      <c r="G395" s="818"/>
      <c r="H395" s="272"/>
      <c r="I395" s="272"/>
      <c r="J395" s="272"/>
      <c r="K395" s="272"/>
      <c r="L395" s="272"/>
      <c r="M395" s="272"/>
      <c r="N395" s="272"/>
      <c r="O395" s="450"/>
      <c r="R395" s="57"/>
      <c r="S395" s="57"/>
      <c r="T395" s="57"/>
    </row>
    <row r="396" spans="1:20" s="32" customFormat="1" ht="15.65" customHeight="1">
      <c r="A396" s="401" t="s">
        <v>1435</v>
      </c>
      <c r="B396" s="716" t="s">
        <v>19</v>
      </c>
      <c r="C396" s="717"/>
      <c r="D396" s="718"/>
      <c r="E396" s="716" t="s">
        <v>416</v>
      </c>
      <c r="F396" s="717"/>
      <c r="G396" s="718"/>
      <c r="H396" s="160"/>
      <c r="I396" s="351">
        <v>123</v>
      </c>
      <c r="J396" s="145">
        <f t="shared" ref="J396:J409" si="92">$D$3</f>
        <v>0.35</v>
      </c>
      <c r="K396" s="357">
        <f t="shared" ref="K396:K409" si="93">I396-I396*$D$3</f>
        <v>79.95</v>
      </c>
      <c r="L396" s="331">
        <f t="shared" ref="L396:L409" si="94">H396*K396</f>
        <v>0</v>
      </c>
      <c r="M396" s="814">
        <v>4.7E-2</v>
      </c>
      <c r="N396" s="815"/>
      <c r="O396" s="444">
        <v>2.38</v>
      </c>
      <c r="R396" s="57"/>
      <c r="S396" s="57"/>
      <c r="T396" s="57"/>
    </row>
    <row r="397" spans="1:20" s="32" customFormat="1" ht="15.65" customHeight="1">
      <c r="A397" s="401" t="s">
        <v>1617</v>
      </c>
      <c r="B397" s="716" t="s">
        <v>19</v>
      </c>
      <c r="C397" s="717"/>
      <c r="D397" s="718"/>
      <c r="E397" s="716" t="s">
        <v>417</v>
      </c>
      <c r="F397" s="717"/>
      <c r="G397" s="718"/>
      <c r="H397" s="160"/>
      <c r="I397" s="351">
        <v>123</v>
      </c>
      <c r="J397" s="145">
        <f t="shared" si="92"/>
        <v>0.35</v>
      </c>
      <c r="K397" s="357">
        <f t="shared" si="93"/>
        <v>79.95</v>
      </c>
      <c r="L397" s="331">
        <f t="shared" si="94"/>
        <v>0</v>
      </c>
      <c r="M397" s="814">
        <v>4.7E-2</v>
      </c>
      <c r="N397" s="815"/>
      <c r="O397" s="444">
        <v>2.38</v>
      </c>
      <c r="R397" s="57"/>
      <c r="S397" s="57"/>
      <c r="T397" s="57"/>
    </row>
    <row r="398" spans="1:20" s="32" customFormat="1" ht="15.65" customHeight="1">
      <c r="A398" s="401" t="s">
        <v>1268</v>
      </c>
      <c r="B398" s="716" t="s">
        <v>20</v>
      </c>
      <c r="C398" s="717"/>
      <c r="D398" s="718"/>
      <c r="E398" s="716" t="s">
        <v>416</v>
      </c>
      <c r="F398" s="717"/>
      <c r="G398" s="718"/>
      <c r="H398" s="160"/>
      <c r="I398" s="351">
        <v>505</v>
      </c>
      <c r="J398" s="145">
        <f t="shared" si="92"/>
        <v>0.35</v>
      </c>
      <c r="K398" s="357">
        <f t="shared" si="93"/>
        <v>328.25</v>
      </c>
      <c r="L398" s="331">
        <f t="shared" si="94"/>
        <v>0</v>
      </c>
      <c r="M398" s="814">
        <v>0.06</v>
      </c>
      <c r="N398" s="815"/>
      <c r="O398" s="444">
        <v>5.5</v>
      </c>
      <c r="R398" s="57"/>
      <c r="S398" s="57"/>
      <c r="T398" s="57"/>
    </row>
    <row r="399" spans="1:20" s="32" customFormat="1" ht="15.65" customHeight="1">
      <c r="A399" s="401" t="s">
        <v>1269</v>
      </c>
      <c r="B399" s="716" t="s">
        <v>20</v>
      </c>
      <c r="C399" s="717"/>
      <c r="D399" s="718"/>
      <c r="E399" s="716" t="s">
        <v>417</v>
      </c>
      <c r="F399" s="717"/>
      <c r="G399" s="718"/>
      <c r="H399" s="160"/>
      <c r="I399" s="351">
        <v>650</v>
      </c>
      <c r="J399" s="145">
        <f t="shared" si="92"/>
        <v>0.35</v>
      </c>
      <c r="K399" s="357">
        <f t="shared" si="93"/>
        <v>422.5</v>
      </c>
      <c r="L399" s="331">
        <f t="shared" si="94"/>
        <v>0</v>
      </c>
      <c r="M399" s="814">
        <v>0.12</v>
      </c>
      <c r="N399" s="815"/>
      <c r="O399" s="444">
        <v>9</v>
      </c>
      <c r="R399" s="57"/>
      <c r="S399" s="57"/>
      <c r="T399" s="57"/>
    </row>
    <row r="400" spans="1:20" s="32" customFormat="1" ht="41.25" customHeight="1">
      <c r="A400" s="401" t="s">
        <v>1266</v>
      </c>
      <c r="B400" s="716" t="s">
        <v>151</v>
      </c>
      <c r="C400" s="717"/>
      <c r="D400" s="718"/>
      <c r="E400" s="716" t="s">
        <v>416</v>
      </c>
      <c r="F400" s="717"/>
      <c r="G400" s="718"/>
      <c r="H400" s="160"/>
      <c r="I400" s="351">
        <v>298</v>
      </c>
      <c r="J400" s="145">
        <f t="shared" si="92"/>
        <v>0.35</v>
      </c>
      <c r="K400" s="357">
        <f t="shared" si="93"/>
        <v>193.7</v>
      </c>
      <c r="L400" s="331">
        <f t="shared" si="94"/>
        <v>0</v>
      </c>
      <c r="M400" s="814">
        <v>12</v>
      </c>
      <c r="N400" s="815"/>
      <c r="O400" s="444">
        <v>0.7</v>
      </c>
      <c r="R400" s="57"/>
      <c r="S400" s="57"/>
      <c r="T400" s="57"/>
    </row>
    <row r="401" spans="1:20" s="32" customFormat="1" ht="41.25" customHeight="1">
      <c r="A401" s="401" t="s">
        <v>1618</v>
      </c>
      <c r="B401" s="716" t="s">
        <v>151</v>
      </c>
      <c r="C401" s="717"/>
      <c r="D401" s="718"/>
      <c r="E401" s="716" t="s">
        <v>418</v>
      </c>
      <c r="F401" s="717"/>
      <c r="G401" s="718"/>
      <c r="H401" s="160"/>
      <c r="I401" s="351">
        <v>298</v>
      </c>
      <c r="J401" s="145">
        <f t="shared" si="92"/>
        <v>0.35</v>
      </c>
      <c r="K401" s="357">
        <f t="shared" si="93"/>
        <v>193.7</v>
      </c>
      <c r="L401" s="331">
        <f t="shared" si="94"/>
        <v>0</v>
      </c>
      <c r="M401" s="814">
        <v>11</v>
      </c>
      <c r="N401" s="815"/>
      <c r="O401" s="444">
        <v>2</v>
      </c>
      <c r="R401" s="57"/>
      <c r="S401" s="57"/>
      <c r="T401" s="57"/>
    </row>
    <row r="402" spans="1:20" s="32" customFormat="1" ht="41.25" customHeight="1">
      <c r="A402" s="401" t="s">
        <v>1267</v>
      </c>
      <c r="B402" s="716" t="s">
        <v>151</v>
      </c>
      <c r="C402" s="717"/>
      <c r="D402" s="718"/>
      <c r="E402" s="716" t="s">
        <v>419</v>
      </c>
      <c r="F402" s="717"/>
      <c r="G402" s="718"/>
      <c r="H402" s="160"/>
      <c r="I402" s="351">
        <v>298</v>
      </c>
      <c r="J402" s="145">
        <f t="shared" si="92"/>
        <v>0.35</v>
      </c>
      <c r="K402" s="357">
        <f t="shared" si="93"/>
        <v>193.7</v>
      </c>
      <c r="L402" s="331">
        <f t="shared" si="94"/>
        <v>0</v>
      </c>
      <c r="M402" s="814">
        <v>7</v>
      </c>
      <c r="N402" s="815"/>
      <c r="O402" s="444">
        <v>1</v>
      </c>
      <c r="R402" s="57"/>
      <c r="S402" s="57"/>
      <c r="T402" s="57"/>
    </row>
    <row r="403" spans="1:20" s="32" customFormat="1" ht="15.5">
      <c r="A403" s="401" t="s">
        <v>1619</v>
      </c>
      <c r="B403" s="716" t="s">
        <v>389</v>
      </c>
      <c r="C403" s="717"/>
      <c r="D403" s="718"/>
      <c r="E403" s="716" t="s">
        <v>420</v>
      </c>
      <c r="F403" s="717"/>
      <c r="G403" s="718"/>
      <c r="H403" s="160"/>
      <c r="I403" s="351">
        <v>303</v>
      </c>
      <c r="J403" s="145">
        <f t="shared" si="92"/>
        <v>0.35</v>
      </c>
      <c r="K403" s="357">
        <f t="shared" si="93"/>
        <v>196.95</v>
      </c>
      <c r="L403" s="331">
        <f t="shared" si="94"/>
        <v>0</v>
      </c>
      <c r="M403" s="814">
        <v>2.7E-2</v>
      </c>
      <c r="N403" s="815"/>
      <c r="O403" s="444">
        <v>1</v>
      </c>
      <c r="R403" s="57"/>
      <c r="S403" s="57"/>
      <c r="T403" s="57"/>
    </row>
    <row r="404" spans="1:20" s="32" customFormat="1" ht="15.65" customHeight="1">
      <c r="A404" s="401" t="s">
        <v>1394</v>
      </c>
      <c r="B404" s="716" t="s">
        <v>389</v>
      </c>
      <c r="C404" s="717"/>
      <c r="D404" s="718"/>
      <c r="E404" s="716" t="s">
        <v>421</v>
      </c>
      <c r="F404" s="717"/>
      <c r="G404" s="718"/>
      <c r="H404" s="160"/>
      <c r="I404" s="351">
        <v>303</v>
      </c>
      <c r="J404" s="145">
        <f t="shared" si="92"/>
        <v>0.35</v>
      </c>
      <c r="K404" s="357">
        <f t="shared" si="93"/>
        <v>196.95</v>
      </c>
      <c r="L404" s="331">
        <f t="shared" si="94"/>
        <v>0</v>
      </c>
      <c r="M404" s="814">
        <v>2.7E-2</v>
      </c>
      <c r="N404" s="815"/>
      <c r="O404" s="444">
        <v>1</v>
      </c>
      <c r="R404" s="57"/>
      <c r="S404" s="57"/>
      <c r="T404" s="57"/>
    </row>
    <row r="405" spans="1:20" s="32" customFormat="1" ht="25.5" customHeight="1">
      <c r="A405" s="401" t="s">
        <v>1405</v>
      </c>
      <c r="B405" s="716" t="s">
        <v>16</v>
      </c>
      <c r="C405" s="717"/>
      <c r="D405" s="718"/>
      <c r="E405" s="716" t="s">
        <v>422</v>
      </c>
      <c r="F405" s="717"/>
      <c r="G405" s="718"/>
      <c r="H405" s="160"/>
      <c r="I405" s="351">
        <v>265</v>
      </c>
      <c r="J405" s="145">
        <f t="shared" si="92"/>
        <v>0.35</v>
      </c>
      <c r="K405" s="357">
        <f t="shared" si="93"/>
        <v>172.25</v>
      </c>
      <c r="L405" s="331">
        <f t="shared" si="94"/>
        <v>0</v>
      </c>
      <c r="M405" s="814">
        <v>0.08</v>
      </c>
      <c r="N405" s="815"/>
      <c r="O405" s="444">
        <v>1.25</v>
      </c>
      <c r="R405" s="57"/>
      <c r="S405" s="57"/>
      <c r="T405" s="57"/>
    </row>
    <row r="406" spans="1:20" s="32" customFormat="1" ht="15.65" customHeight="1">
      <c r="A406" s="401" t="s">
        <v>1390</v>
      </c>
      <c r="B406" s="716" t="s">
        <v>384</v>
      </c>
      <c r="C406" s="717"/>
      <c r="D406" s="718"/>
      <c r="E406" s="716" t="s">
        <v>421</v>
      </c>
      <c r="F406" s="717"/>
      <c r="G406" s="718"/>
      <c r="H406" s="160"/>
      <c r="I406" s="351">
        <v>101</v>
      </c>
      <c r="J406" s="145">
        <f t="shared" si="92"/>
        <v>0.35</v>
      </c>
      <c r="K406" s="357">
        <f t="shared" si="93"/>
        <v>65.650000000000006</v>
      </c>
      <c r="L406" s="331">
        <f t="shared" si="94"/>
        <v>0</v>
      </c>
      <c r="M406" s="814">
        <v>0.01</v>
      </c>
      <c r="N406" s="815"/>
      <c r="O406" s="444">
        <v>1</v>
      </c>
      <c r="R406" s="57"/>
      <c r="S406" s="57"/>
      <c r="T406" s="57"/>
    </row>
    <row r="407" spans="1:20" s="32" customFormat="1" ht="39" customHeight="1">
      <c r="A407" s="401" t="s">
        <v>1392</v>
      </c>
      <c r="B407" s="716" t="s">
        <v>386</v>
      </c>
      <c r="C407" s="717"/>
      <c r="D407" s="718"/>
      <c r="E407" s="716" t="s">
        <v>423</v>
      </c>
      <c r="F407" s="717"/>
      <c r="G407" s="718"/>
      <c r="H407" s="160"/>
      <c r="I407" s="351">
        <v>79</v>
      </c>
      <c r="J407" s="145">
        <f t="shared" si="92"/>
        <v>0.35</v>
      </c>
      <c r="K407" s="357">
        <f t="shared" si="93"/>
        <v>51.35</v>
      </c>
      <c r="L407" s="331">
        <f t="shared" si="94"/>
        <v>0</v>
      </c>
      <c r="M407" s="814">
        <v>1.0999999999999999E-2</v>
      </c>
      <c r="N407" s="815"/>
      <c r="O407" s="444">
        <v>2</v>
      </c>
      <c r="R407" s="57"/>
      <c r="S407" s="57"/>
      <c r="T407" s="57"/>
    </row>
    <row r="408" spans="1:20" s="32" customFormat="1" ht="15.65" customHeight="1">
      <c r="A408" s="401" t="s">
        <v>1393</v>
      </c>
      <c r="B408" s="716" t="s">
        <v>386</v>
      </c>
      <c r="C408" s="717"/>
      <c r="D408" s="718"/>
      <c r="E408" s="716" t="s">
        <v>421</v>
      </c>
      <c r="F408" s="717"/>
      <c r="G408" s="718"/>
      <c r="H408" s="160"/>
      <c r="I408" s="351">
        <v>96</v>
      </c>
      <c r="J408" s="145">
        <f t="shared" si="92"/>
        <v>0.35</v>
      </c>
      <c r="K408" s="357">
        <f t="shared" si="93"/>
        <v>62.400000000000006</v>
      </c>
      <c r="L408" s="331">
        <f t="shared" si="94"/>
        <v>0</v>
      </c>
      <c r="M408" s="814">
        <v>1.9E-2</v>
      </c>
      <c r="N408" s="815"/>
      <c r="O408" s="444">
        <v>2</v>
      </c>
      <c r="R408" s="57"/>
      <c r="S408" s="57"/>
      <c r="T408" s="57"/>
    </row>
    <row r="409" spans="1:20" s="32" customFormat="1" ht="15.5">
      <c r="A409" s="401" t="s">
        <v>1391</v>
      </c>
      <c r="B409" s="716" t="s">
        <v>384</v>
      </c>
      <c r="C409" s="717"/>
      <c r="D409" s="718"/>
      <c r="E409" s="716" t="s">
        <v>455</v>
      </c>
      <c r="F409" s="717"/>
      <c r="G409" s="718"/>
      <c r="H409" s="160"/>
      <c r="I409" s="351">
        <v>112</v>
      </c>
      <c r="J409" s="145">
        <f t="shared" si="92"/>
        <v>0.35</v>
      </c>
      <c r="K409" s="357">
        <f t="shared" si="93"/>
        <v>72.800000000000011</v>
      </c>
      <c r="L409" s="331">
        <f t="shared" si="94"/>
        <v>0</v>
      </c>
      <c r="M409" s="814">
        <v>0.122</v>
      </c>
      <c r="N409" s="815"/>
      <c r="O409" s="444">
        <v>1</v>
      </c>
      <c r="R409" s="57"/>
      <c r="S409" s="57"/>
      <c r="T409" s="57"/>
    </row>
    <row r="410" spans="1:20" s="32" customFormat="1">
      <c r="A410" s="842"/>
      <c r="B410" s="843"/>
      <c r="C410" s="843"/>
      <c r="D410" s="843"/>
      <c r="E410" s="843"/>
      <c r="F410" s="843"/>
      <c r="G410" s="843"/>
      <c r="H410" s="843"/>
      <c r="I410" s="843"/>
      <c r="J410" s="843"/>
      <c r="K410" s="843"/>
      <c r="L410" s="843"/>
      <c r="M410" s="843"/>
      <c r="N410" s="843"/>
      <c r="O410" s="844"/>
      <c r="P410" s="92"/>
    </row>
    <row r="411" spans="1:20" s="32" customFormat="1">
      <c r="A411" s="839" t="s">
        <v>535</v>
      </c>
      <c r="B411" s="840"/>
      <c r="C411" s="840"/>
      <c r="D411" s="840"/>
      <c r="E411" s="840"/>
      <c r="F411" s="840"/>
      <c r="G411" s="840"/>
      <c r="H411" s="840"/>
      <c r="I411" s="840"/>
      <c r="J411" s="96"/>
      <c r="K411" s="96"/>
      <c r="L411" s="189">
        <f>SUM(L147:L166)+SUM(L9:L11)+SUM(L51:L55)+SUM(L203:L216)+SUM(L219:L236)+SUM(L239:L283)+SUM(L292:L299)+SUM(L65:L70)+SUM(L19:L24)+SUM(L35:L39)+SUM(L312:L409)+SUM(L73:L81)+SUM(L91:L100)+SUM(L113:L117)+SUM(L125:L134)</f>
        <v>0</v>
      </c>
      <c r="M411" s="99"/>
      <c r="N411" s="96"/>
      <c r="O411" s="451"/>
      <c r="P411" s="40"/>
    </row>
    <row r="412" spans="1:20" s="32" customFormat="1">
      <c r="A412" s="404"/>
      <c r="B412" s="841"/>
      <c r="C412" s="841"/>
      <c r="D412" s="841"/>
      <c r="E412" s="96"/>
      <c r="F412" s="97"/>
      <c r="G412" s="97"/>
      <c r="H412" s="98"/>
      <c r="I412" s="99"/>
      <c r="J412" s="96"/>
      <c r="K412" s="96"/>
      <c r="L412" s="99"/>
      <c r="M412" s="99"/>
      <c r="N412" s="96"/>
      <c r="O412" s="451"/>
      <c r="P412" s="40"/>
    </row>
    <row r="413" spans="1:20" s="32" customFormat="1" ht="12.5">
      <c r="A413" s="452"/>
      <c r="B413" s="832" t="s">
        <v>817</v>
      </c>
      <c r="C413" s="833"/>
      <c r="D413" s="833"/>
      <c r="E413" s="833"/>
      <c r="F413" s="833"/>
      <c r="G413" s="833"/>
      <c r="H413" s="833"/>
      <c r="I413" s="833"/>
      <c r="J413" s="833"/>
      <c r="K413" s="833"/>
      <c r="L413" s="833"/>
      <c r="M413" s="833"/>
      <c r="N413" s="833"/>
      <c r="O413" s="834"/>
      <c r="P413" s="100"/>
    </row>
    <row r="414" spans="1:20" s="32" customFormat="1" ht="12.5">
      <c r="A414" s="453"/>
      <c r="B414" s="835"/>
      <c r="C414" s="835"/>
      <c r="D414" s="835"/>
      <c r="E414" s="835"/>
      <c r="F414" s="835"/>
      <c r="G414" s="835"/>
      <c r="H414" s="835"/>
      <c r="I414" s="835"/>
      <c r="J414" s="835"/>
      <c r="K414" s="835"/>
      <c r="L414" s="835"/>
      <c r="M414" s="835"/>
      <c r="N414" s="835"/>
      <c r="O414" s="836"/>
      <c r="P414" s="101"/>
    </row>
    <row r="415" spans="1:20" s="32" customFormat="1" ht="12.5">
      <c r="A415" s="454"/>
      <c r="B415" s="837" t="s">
        <v>557</v>
      </c>
      <c r="C415" s="837"/>
      <c r="D415" s="837"/>
      <c r="E415" s="837"/>
      <c r="F415" s="837"/>
      <c r="G415" s="837"/>
      <c r="H415" s="837"/>
      <c r="I415" s="837"/>
      <c r="J415" s="837"/>
      <c r="K415" s="837"/>
      <c r="L415" s="837"/>
      <c r="M415" s="837"/>
      <c r="N415" s="837"/>
      <c r="O415" s="838"/>
      <c r="P415" s="102"/>
    </row>
    <row r="416" spans="1:20" s="32" customFormat="1" ht="12.5">
      <c r="A416" s="455"/>
      <c r="B416" s="592" t="s">
        <v>548</v>
      </c>
      <c r="C416" s="592"/>
      <c r="D416" s="592"/>
      <c r="E416" s="592"/>
      <c r="F416" s="592"/>
      <c r="G416" s="592"/>
      <c r="H416" s="592"/>
      <c r="I416" s="592"/>
      <c r="J416" s="592"/>
      <c r="K416" s="592"/>
      <c r="L416" s="592"/>
      <c r="M416" s="592"/>
      <c r="N416" s="592"/>
      <c r="O416" s="829"/>
      <c r="P416" s="103"/>
    </row>
    <row r="417" spans="1:16" s="32" customFormat="1" ht="12.5">
      <c r="A417" s="455"/>
      <c r="B417" s="592" t="s">
        <v>818</v>
      </c>
      <c r="C417" s="592"/>
      <c r="D417" s="592"/>
      <c r="E417" s="592"/>
      <c r="F417" s="592"/>
      <c r="G417" s="592"/>
      <c r="H417" s="592"/>
      <c r="I417" s="592"/>
      <c r="J417" s="592"/>
      <c r="K417" s="592"/>
      <c r="L417" s="592"/>
      <c r="M417" s="592"/>
      <c r="N417" s="592"/>
      <c r="O417" s="829"/>
      <c r="P417" s="103"/>
    </row>
    <row r="418" spans="1:16" s="32" customFormat="1" thickBot="1">
      <c r="A418" s="456"/>
      <c r="B418" s="830" t="s">
        <v>563</v>
      </c>
      <c r="C418" s="830"/>
      <c r="D418" s="830"/>
      <c r="E418" s="830"/>
      <c r="F418" s="830"/>
      <c r="G418" s="830"/>
      <c r="H418" s="830"/>
      <c r="I418" s="830"/>
      <c r="J418" s="830"/>
      <c r="K418" s="830"/>
      <c r="L418" s="830"/>
      <c r="M418" s="830"/>
      <c r="N418" s="830"/>
      <c r="O418" s="831"/>
      <c r="P418" s="103"/>
    </row>
    <row r="419" spans="1:16" s="32" customFormat="1">
      <c r="A419" s="38"/>
      <c r="B419" s="50"/>
      <c r="C419" s="50"/>
      <c r="D419" s="50"/>
      <c r="E419" s="51"/>
      <c r="F419" s="51"/>
      <c r="G419" s="51"/>
      <c r="H419" s="38"/>
      <c r="I419" s="51"/>
      <c r="J419" s="51"/>
      <c r="K419" s="52"/>
      <c r="L419" s="52"/>
      <c r="M419" s="52"/>
      <c r="N419" s="52"/>
      <c r="O419" s="52"/>
    </row>
    <row r="420" spans="1:16" s="32" customFormat="1">
      <c r="A420" s="38"/>
      <c r="B420" s="50"/>
      <c r="C420" s="50"/>
      <c r="D420" s="50"/>
      <c r="E420" s="51"/>
      <c r="F420" s="51"/>
      <c r="G420" s="51"/>
      <c r="H420" s="38"/>
      <c r="I420" s="51"/>
      <c r="J420" s="51"/>
      <c r="K420" s="52"/>
      <c r="L420" s="52"/>
      <c r="M420" s="52"/>
      <c r="N420" s="52"/>
      <c r="O420" s="52"/>
    </row>
    <row r="421" spans="1:16" s="32" customFormat="1">
      <c r="A421" s="38"/>
      <c r="B421" s="50"/>
      <c r="C421" s="50"/>
      <c r="D421" s="50"/>
      <c r="E421" s="51"/>
      <c r="F421" s="51"/>
      <c r="G421" s="51"/>
      <c r="H421" s="38"/>
      <c r="I421" s="51"/>
      <c r="J421" s="51"/>
      <c r="K421" s="52"/>
      <c r="L421" s="52"/>
      <c r="M421" s="52"/>
      <c r="N421" s="52"/>
      <c r="O421" s="52"/>
    </row>
    <row r="422" spans="1:16" s="32" customFormat="1">
      <c r="A422" s="38"/>
      <c r="B422" s="50"/>
      <c r="C422" s="50"/>
      <c r="D422" s="50"/>
      <c r="E422" s="51"/>
      <c r="F422" s="51"/>
      <c r="G422" s="51"/>
      <c r="H422" s="38"/>
      <c r="I422" s="51"/>
      <c r="J422" s="51"/>
      <c r="K422" s="52"/>
      <c r="L422" s="52"/>
      <c r="M422" s="52"/>
      <c r="N422" s="52"/>
      <c r="O422" s="52"/>
    </row>
    <row r="423" spans="1:16" s="32" customFormat="1">
      <c r="A423" s="38"/>
      <c r="B423" s="50"/>
      <c r="C423" s="50"/>
      <c r="D423" s="50"/>
      <c r="E423" s="51"/>
      <c r="F423" s="51"/>
      <c r="G423" s="51"/>
      <c r="H423" s="38"/>
      <c r="I423" s="51"/>
      <c r="J423" s="51"/>
      <c r="K423" s="52"/>
      <c r="L423" s="52"/>
      <c r="M423" s="52"/>
      <c r="N423" s="52"/>
      <c r="O423" s="52"/>
    </row>
    <row r="424" spans="1:16" s="32" customFormat="1">
      <c r="A424" s="38"/>
      <c r="B424" s="50"/>
      <c r="C424" s="50"/>
      <c r="D424" s="50"/>
      <c r="E424" s="51"/>
      <c r="F424" s="51"/>
      <c r="G424" s="51"/>
      <c r="H424" s="38"/>
      <c r="I424" s="51"/>
      <c r="J424" s="51"/>
      <c r="K424" s="52"/>
      <c r="L424" s="52"/>
      <c r="M424" s="52"/>
      <c r="N424" s="52"/>
      <c r="O424" s="52"/>
    </row>
    <row r="425" spans="1:16" s="32" customFormat="1">
      <c r="A425" s="38"/>
      <c r="B425" s="50"/>
      <c r="C425" s="50"/>
      <c r="D425" s="50"/>
      <c r="E425" s="51"/>
      <c r="F425" s="51"/>
      <c r="G425" s="51"/>
      <c r="H425" s="38"/>
      <c r="I425" s="51"/>
      <c r="J425" s="51"/>
      <c r="K425" s="52"/>
      <c r="L425" s="52"/>
      <c r="M425" s="52"/>
      <c r="N425" s="52"/>
      <c r="O425" s="52"/>
    </row>
    <row r="426" spans="1:16" s="32" customFormat="1">
      <c r="A426" s="38"/>
      <c r="B426" s="50"/>
      <c r="C426" s="50"/>
      <c r="D426" s="50"/>
      <c r="E426" s="51"/>
      <c r="F426" s="51"/>
      <c r="G426" s="51"/>
      <c r="H426" s="38"/>
      <c r="I426" s="51"/>
      <c r="J426" s="51"/>
      <c r="K426" s="52"/>
      <c r="L426" s="52"/>
      <c r="M426" s="52"/>
      <c r="N426" s="52"/>
      <c r="O426" s="52"/>
    </row>
    <row r="427" spans="1:16" s="32" customFormat="1">
      <c r="A427" s="38"/>
      <c r="B427" s="50"/>
      <c r="C427" s="50"/>
      <c r="D427" s="50"/>
      <c r="E427" s="51"/>
      <c r="F427" s="51"/>
      <c r="G427" s="51"/>
      <c r="H427" s="38"/>
      <c r="I427" s="51"/>
      <c r="J427" s="51"/>
      <c r="K427" s="52"/>
      <c r="L427" s="52"/>
      <c r="M427" s="52"/>
      <c r="N427" s="52"/>
      <c r="O427" s="52"/>
    </row>
    <row r="428" spans="1:16" s="32" customFormat="1">
      <c r="A428" s="38"/>
      <c r="B428" s="50"/>
      <c r="C428" s="50"/>
      <c r="D428" s="50"/>
      <c r="E428" s="51"/>
      <c r="F428" s="51"/>
      <c r="G428" s="51"/>
      <c r="H428" s="38"/>
      <c r="I428" s="51"/>
      <c r="J428" s="51"/>
      <c r="K428" s="52"/>
      <c r="L428" s="52"/>
      <c r="M428" s="52"/>
      <c r="N428" s="52"/>
      <c r="O428" s="52"/>
    </row>
    <row r="429" spans="1:16" s="32" customFormat="1">
      <c r="A429" s="38"/>
      <c r="B429" s="50"/>
      <c r="C429" s="50"/>
      <c r="D429" s="50"/>
      <c r="E429" s="51"/>
      <c r="F429" s="51"/>
      <c r="G429" s="51"/>
      <c r="H429" s="38"/>
      <c r="I429" s="51"/>
      <c r="J429" s="51"/>
      <c r="K429" s="52"/>
      <c r="L429" s="52"/>
      <c r="M429" s="52"/>
      <c r="N429" s="52"/>
      <c r="O429" s="52"/>
    </row>
    <row r="430" spans="1:16" s="32" customFormat="1">
      <c r="A430" s="38"/>
      <c r="B430" s="50"/>
      <c r="C430" s="50"/>
      <c r="D430" s="50"/>
      <c r="E430" s="51"/>
      <c r="F430" s="51"/>
      <c r="G430" s="51"/>
      <c r="H430" s="38"/>
      <c r="I430" s="51"/>
      <c r="J430" s="51"/>
      <c r="K430" s="52"/>
      <c r="L430" s="52"/>
      <c r="M430" s="52"/>
      <c r="N430" s="52"/>
      <c r="O430" s="52"/>
    </row>
    <row r="431" spans="1:16" s="32" customFormat="1">
      <c r="A431" s="38"/>
      <c r="B431" s="50"/>
      <c r="C431" s="50"/>
      <c r="D431" s="50"/>
      <c r="E431" s="51"/>
      <c r="F431" s="51"/>
      <c r="G431" s="51"/>
      <c r="H431" s="38"/>
      <c r="I431" s="51"/>
      <c r="J431" s="51"/>
      <c r="K431" s="52"/>
      <c r="L431" s="52"/>
      <c r="M431" s="52"/>
      <c r="N431" s="52"/>
      <c r="O431" s="52"/>
    </row>
    <row r="432" spans="1:16" s="32" customFormat="1">
      <c r="A432" s="38"/>
      <c r="B432" s="50"/>
      <c r="C432" s="50"/>
      <c r="D432" s="50"/>
      <c r="E432" s="51"/>
      <c r="F432" s="51"/>
      <c r="G432" s="51"/>
      <c r="H432" s="38"/>
      <c r="I432" s="51"/>
      <c r="J432" s="51"/>
      <c r="K432" s="52"/>
      <c r="L432" s="52"/>
      <c r="M432" s="52"/>
      <c r="N432" s="52"/>
      <c r="O432" s="52"/>
    </row>
    <row r="433" spans="1:15" s="32" customFormat="1">
      <c r="A433" s="38"/>
      <c r="B433" s="50"/>
      <c r="C433" s="50"/>
      <c r="D433" s="50"/>
      <c r="E433" s="51"/>
      <c r="F433" s="51"/>
      <c r="G433" s="51"/>
      <c r="H433" s="38"/>
      <c r="I433" s="51"/>
      <c r="J433" s="51"/>
      <c r="K433" s="52"/>
      <c r="L433" s="52"/>
      <c r="M433" s="52"/>
      <c r="N433" s="52"/>
      <c r="O433" s="52"/>
    </row>
    <row r="434" spans="1:15" s="32" customFormat="1">
      <c r="A434" s="38"/>
      <c r="B434" s="50"/>
      <c r="C434" s="50"/>
      <c r="D434" s="50"/>
      <c r="E434" s="51"/>
      <c r="F434" s="51"/>
      <c r="G434" s="51"/>
      <c r="H434" s="38"/>
      <c r="I434" s="51"/>
      <c r="J434" s="51"/>
      <c r="K434" s="52"/>
      <c r="L434" s="52"/>
      <c r="M434" s="52"/>
      <c r="N434" s="52"/>
      <c r="O434" s="52"/>
    </row>
    <row r="435" spans="1:15" s="32" customFormat="1">
      <c r="A435" s="38"/>
      <c r="B435" s="50"/>
      <c r="C435" s="50"/>
      <c r="D435" s="50"/>
      <c r="E435" s="51"/>
      <c r="F435" s="51"/>
      <c r="G435" s="51"/>
      <c r="H435" s="38"/>
      <c r="I435" s="51"/>
      <c r="J435" s="51"/>
      <c r="K435" s="52"/>
      <c r="L435" s="52"/>
      <c r="M435" s="52"/>
      <c r="N435" s="52"/>
      <c r="O435" s="52"/>
    </row>
    <row r="436" spans="1:15" s="32" customFormat="1">
      <c r="A436" s="38"/>
      <c r="B436" s="50"/>
      <c r="C436" s="50"/>
      <c r="D436" s="50"/>
      <c r="E436" s="51"/>
      <c r="F436" s="51"/>
      <c r="G436" s="51"/>
      <c r="H436" s="38"/>
      <c r="I436" s="51"/>
      <c r="J436" s="51"/>
      <c r="K436" s="52"/>
      <c r="L436" s="52"/>
      <c r="M436" s="52"/>
      <c r="N436" s="52"/>
      <c r="O436" s="52"/>
    </row>
    <row r="437" spans="1:15" s="32" customFormat="1">
      <c r="A437" s="38"/>
      <c r="B437" s="50"/>
      <c r="C437" s="50"/>
      <c r="D437" s="50"/>
      <c r="E437" s="51"/>
      <c r="F437" s="51"/>
      <c r="G437" s="51"/>
      <c r="H437" s="38"/>
      <c r="I437" s="51"/>
      <c r="J437" s="51"/>
      <c r="K437" s="52"/>
      <c r="L437" s="52"/>
      <c r="M437" s="52"/>
      <c r="N437" s="52"/>
      <c r="O437" s="52"/>
    </row>
    <row r="438" spans="1:15" s="32" customFormat="1">
      <c r="A438" s="38"/>
      <c r="B438" s="50"/>
      <c r="C438" s="50"/>
      <c r="D438" s="50"/>
      <c r="E438" s="51"/>
      <c r="F438" s="51"/>
      <c r="G438" s="51"/>
      <c r="H438" s="38"/>
      <c r="I438" s="51"/>
      <c r="J438" s="51"/>
      <c r="K438" s="52"/>
      <c r="L438" s="52"/>
      <c r="M438" s="52"/>
      <c r="N438" s="52"/>
      <c r="O438" s="52"/>
    </row>
    <row r="439" spans="1:15" s="32" customFormat="1">
      <c r="A439" s="38"/>
      <c r="B439" s="50"/>
      <c r="C439" s="50"/>
      <c r="D439" s="50"/>
      <c r="E439" s="51"/>
      <c r="F439" s="51"/>
      <c r="G439" s="51"/>
      <c r="H439" s="38"/>
      <c r="I439" s="51"/>
      <c r="J439" s="51"/>
      <c r="K439" s="52"/>
      <c r="L439" s="52"/>
      <c r="M439" s="52"/>
      <c r="N439" s="52"/>
      <c r="O439" s="52"/>
    </row>
    <row r="440" spans="1:15" s="32" customFormat="1">
      <c r="A440" s="38"/>
      <c r="B440" s="50"/>
      <c r="C440" s="50"/>
      <c r="D440" s="50"/>
      <c r="E440" s="51"/>
      <c r="F440" s="51"/>
      <c r="G440" s="51"/>
      <c r="H440" s="38"/>
      <c r="I440" s="51"/>
      <c r="J440" s="51"/>
      <c r="K440" s="52"/>
      <c r="L440" s="52"/>
      <c r="M440" s="52"/>
      <c r="N440" s="52"/>
      <c r="O440" s="52"/>
    </row>
    <row r="441" spans="1:15" s="32" customFormat="1">
      <c r="A441" s="38"/>
      <c r="B441" s="50"/>
      <c r="C441" s="50"/>
      <c r="D441" s="50"/>
      <c r="E441" s="51"/>
      <c r="F441" s="51"/>
      <c r="G441" s="51"/>
      <c r="H441" s="38"/>
      <c r="I441" s="51"/>
      <c r="J441" s="51"/>
      <c r="K441" s="52"/>
      <c r="L441" s="52"/>
      <c r="M441" s="52"/>
      <c r="N441" s="52"/>
      <c r="O441" s="52"/>
    </row>
    <row r="442" spans="1:15" s="32" customFormat="1">
      <c r="A442" s="38"/>
      <c r="B442" s="50"/>
      <c r="C442" s="50"/>
      <c r="D442" s="50"/>
      <c r="E442" s="51"/>
      <c r="F442" s="51"/>
      <c r="G442" s="51"/>
      <c r="H442" s="38"/>
      <c r="I442" s="51"/>
      <c r="J442" s="51"/>
      <c r="K442" s="52"/>
      <c r="L442" s="52"/>
      <c r="M442" s="52"/>
      <c r="N442" s="52"/>
      <c r="O442" s="52"/>
    </row>
    <row r="443" spans="1:15" s="32" customFormat="1">
      <c r="A443" s="38"/>
      <c r="B443" s="50"/>
      <c r="C443" s="50"/>
      <c r="D443" s="50"/>
      <c r="E443" s="51"/>
      <c r="F443" s="51"/>
      <c r="G443" s="51"/>
      <c r="H443" s="38"/>
      <c r="I443" s="51"/>
      <c r="J443" s="51"/>
      <c r="K443" s="52"/>
      <c r="L443" s="52"/>
      <c r="M443" s="52"/>
      <c r="N443" s="52"/>
      <c r="O443" s="52"/>
    </row>
    <row r="444" spans="1:15" s="32" customFormat="1">
      <c r="A444" s="38"/>
      <c r="B444" s="50"/>
      <c r="C444" s="50"/>
      <c r="D444" s="50"/>
      <c r="E444" s="51"/>
      <c r="F444" s="51"/>
      <c r="G444" s="51"/>
      <c r="H444" s="38"/>
      <c r="I444" s="51"/>
      <c r="J444" s="51"/>
      <c r="K444" s="52"/>
      <c r="L444" s="52"/>
      <c r="M444" s="52"/>
      <c r="N444" s="52"/>
      <c r="O444" s="52"/>
    </row>
    <row r="445" spans="1:15" s="32" customFormat="1">
      <c r="A445" s="38"/>
      <c r="B445" s="50"/>
      <c r="C445" s="50"/>
      <c r="D445" s="50"/>
      <c r="E445" s="51"/>
      <c r="F445" s="51"/>
      <c r="G445" s="51"/>
      <c r="H445" s="38"/>
      <c r="I445" s="51"/>
      <c r="J445" s="51"/>
      <c r="K445" s="52"/>
      <c r="L445" s="52"/>
      <c r="M445" s="52"/>
      <c r="N445" s="52"/>
      <c r="O445" s="52"/>
    </row>
    <row r="446" spans="1:15" s="32" customFormat="1">
      <c r="A446" s="38"/>
      <c r="B446" s="50"/>
      <c r="C446" s="50"/>
      <c r="D446" s="50"/>
      <c r="E446" s="51"/>
      <c r="F446" s="51"/>
      <c r="G446" s="51"/>
      <c r="H446" s="38"/>
      <c r="I446" s="51"/>
      <c r="J446" s="51"/>
      <c r="K446" s="52"/>
      <c r="L446" s="52"/>
      <c r="M446" s="52"/>
      <c r="N446" s="52"/>
      <c r="O446" s="52"/>
    </row>
    <row r="447" spans="1:15" s="32" customFormat="1">
      <c r="A447" s="38"/>
      <c r="B447" s="50"/>
      <c r="C447" s="50"/>
      <c r="D447" s="50"/>
      <c r="E447" s="51"/>
      <c r="F447" s="51"/>
      <c r="G447" s="51"/>
      <c r="H447" s="38"/>
      <c r="I447" s="51"/>
      <c r="J447" s="51"/>
      <c r="K447" s="52"/>
      <c r="L447" s="52"/>
      <c r="M447" s="52"/>
      <c r="N447" s="52"/>
      <c r="O447" s="52"/>
    </row>
    <row r="448" spans="1:15" s="32" customFormat="1">
      <c r="A448" s="38"/>
      <c r="B448" s="50"/>
      <c r="C448" s="50"/>
      <c r="D448" s="50"/>
      <c r="E448" s="51"/>
      <c r="F448" s="51"/>
      <c r="G448" s="51"/>
      <c r="H448" s="38"/>
      <c r="I448" s="51"/>
      <c r="J448" s="51"/>
      <c r="K448" s="52"/>
      <c r="L448" s="52"/>
      <c r="M448" s="52"/>
      <c r="N448" s="52"/>
      <c r="O448" s="52"/>
    </row>
    <row r="449" spans="1:15" s="32" customFormat="1">
      <c r="A449" s="38"/>
      <c r="B449" s="50"/>
      <c r="C449" s="50"/>
      <c r="D449" s="50"/>
      <c r="E449" s="51"/>
      <c r="F449" s="51"/>
      <c r="G449" s="51"/>
      <c r="H449" s="38"/>
      <c r="I449" s="51"/>
      <c r="J449" s="51"/>
      <c r="K449" s="52"/>
      <c r="L449" s="52"/>
      <c r="M449" s="52"/>
      <c r="N449" s="52"/>
      <c r="O449" s="52"/>
    </row>
    <row r="450" spans="1:15" s="32" customFormat="1">
      <c r="A450" s="38"/>
      <c r="B450" s="50"/>
      <c r="C450" s="50"/>
      <c r="D450" s="50"/>
      <c r="E450" s="51"/>
      <c r="F450" s="51"/>
      <c r="G450" s="51"/>
      <c r="H450" s="38"/>
      <c r="I450" s="51"/>
      <c r="J450" s="51"/>
      <c r="K450" s="52"/>
      <c r="L450" s="52"/>
      <c r="M450" s="52"/>
      <c r="N450" s="52"/>
      <c r="O450" s="52"/>
    </row>
    <row r="451" spans="1:15" s="32" customFormat="1">
      <c r="A451" s="38"/>
      <c r="B451" s="50"/>
      <c r="C451" s="50"/>
      <c r="D451" s="50"/>
      <c r="E451" s="51"/>
      <c r="F451" s="51"/>
      <c r="G451" s="51"/>
      <c r="H451" s="38"/>
      <c r="I451" s="51"/>
      <c r="J451" s="51"/>
      <c r="K451" s="52"/>
      <c r="L451" s="52"/>
      <c r="M451" s="52"/>
      <c r="N451" s="52"/>
      <c r="O451" s="52"/>
    </row>
    <row r="452" spans="1:15" s="32" customFormat="1">
      <c r="A452" s="38"/>
      <c r="B452" s="50"/>
      <c r="C452" s="50"/>
      <c r="D452" s="50"/>
      <c r="E452" s="51"/>
      <c r="F452" s="51"/>
      <c r="G452" s="51"/>
      <c r="H452" s="38"/>
      <c r="I452" s="51"/>
      <c r="J452" s="51"/>
      <c r="K452" s="52"/>
      <c r="L452" s="52"/>
      <c r="M452" s="52"/>
      <c r="N452" s="52"/>
      <c r="O452" s="52"/>
    </row>
    <row r="453" spans="1:15" s="32" customFormat="1">
      <c r="A453" s="38"/>
      <c r="B453" s="50"/>
      <c r="C453" s="50"/>
      <c r="D453" s="50"/>
      <c r="E453" s="51"/>
      <c r="F453" s="51"/>
      <c r="G453" s="51"/>
      <c r="H453" s="38"/>
      <c r="I453" s="51"/>
      <c r="J453" s="51"/>
      <c r="K453" s="52"/>
      <c r="L453" s="52"/>
      <c r="M453" s="52"/>
      <c r="N453" s="52"/>
      <c r="O453" s="52"/>
    </row>
    <row r="454" spans="1:15" s="32" customFormat="1">
      <c r="A454" s="38"/>
      <c r="B454" s="50"/>
      <c r="C454" s="50"/>
      <c r="D454" s="50"/>
      <c r="E454" s="51"/>
      <c r="F454" s="51"/>
      <c r="G454" s="51"/>
      <c r="H454" s="38"/>
      <c r="I454" s="51"/>
      <c r="J454" s="51"/>
      <c r="K454" s="52"/>
      <c r="L454" s="52"/>
      <c r="M454" s="52"/>
      <c r="N454" s="52"/>
      <c r="O454" s="52"/>
    </row>
    <row r="455" spans="1:15" s="32" customFormat="1">
      <c r="A455" s="38"/>
      <c r="B455" s="50"/>
      <c r="C455" s="50"/>
      <c r="D455" s="50"/>
      <c r="E455" s="51"/>
      <c r="F455" s="51"/>
      <c r="G455" s="51"/>
      <c r="H455" s="38"/>
      <c r="I455" s="51"/>
      <c r="J455" s="51"/>
      <c r="K455" s="52"/>
      <c r="L455" s="52"/>
      <c r="M455" s="52"/>
      <c r="N455" s="52"/>
      <c r="O455" s="52"/>
    </row>
    <row r="456" spans="1:15" s="32" customFormat="1">
      <c r="A456" s="38"/>
      <c r="B456" s="50"/>
      <c r="C456" s="50"/>
      <c r="D456" s="50"/>
      <c r="E456" s="51"/>
      <c r="F456" s="51"/>
      <c r="G456" s="51"/>
      <c r="H456" s="38"/>
      <c r="I456" s="51"/>
      <c r="J456" s="51"/>
      <c r="K456" s="52"/>
      <c r="L456" s="52"/>
      <c r="M456" s="52"/>
      <c r="N456" s="52"/>
      <c r="O456" s="52"/>
    </row>
    <row r="457" spans="1:15" s="32" customFormat="1">
      <c r="A457" s="38"/>
      <c r="B457" s="50"/>
      <c r="C457" s="50"/>
      <c r="D457" s="50"/>
      <c r="E457" s="51"/>
      <c r="F457" s="51"/>
      <c r="G457" s="51"/>
      <c r="H457" s="38"/>
      <c r="I457" s="51"/>
      <c r="J457" s="51"/>
      <c r="K457" s="52"/>
      <c r="L457" s="52"/>
      <c r="M457" s="52"/>
      <c r="N457" s="52"/>
      <c r="O457" s="52"/>
    </row>
    <row r="458" spans="1:15" s="32" customFormat="1">
      <c r="A458" s="38"/>
      <c r="B458" s="50"/>
      <c r="C458" s="50"/>
      <c r="D458" s="50"/>
      <c r="E458" s="51"/>
      <c r="F458" s="51"/>
      <c r="G458" s="51"/>
      <c r="H458" s="38"/>
      <c r="I458" s="51"/>
      <c r="J458" s="51"/>
      <c r="K458" s="52"/>
      <c r="L458" s="52"/>
      <c r="M458" s="52"/>
      <c r="N458" s="52"/>
      <c r="O458" s="52"/>
    </row>
    <row r="459" spans="1:15" s="32" customFormat="1">
      <c r="A459" s="38"/>
      <c r="B459" s="50"/>
      <c r="C459" s="50"/>
      <c r="D459" s="50"/>
      <c r="E459" s="51"/>
      <c r="F459" s="51"/>
      <c r="G459" s="51"/>
      <c r="H459" s="38"/>
      <c r="I459" s="51"/>
      <c r="J459" s="51"/>
      <c r="K459" s="52"/>
      <c r="L459" s="52"/>
      <c r="M459" s="52"/>
      <c r="N459" s="52"/>
      <c r="O459" s="52"/>
    </row>
    <row r="460" spans="1:15" s="32" customFormat="1">
      <c r="A460" s="38"/>
      <c r="B460" s="50"/>
      <c r="C460" s="50"/>
      <c r="D460" s="50"/>
      <c r="E460" s="51"/>
      <c r="F460" s="51"/>
      <c r="G460" s="51"/>
      <c r="H460" s="38"/>
      <c r="I460" s="51"/>
      <c r="J460" s="51"/>
      <c r="K460" s="52"/>
      <c r="L460" s="52"/>
      <c r="M460" s="52"/>
      <c r="N460" s="52"/>
      <c r="O460" s="52"/>
    </row>
    <row r="461" spans="1:15" s="32" customFormat="1">
      <c r="A461" s="38"/>
      <c r="B461" s="50"/>
      <c r="C461" s="50"/>
      <c r="D461" s="50"/>
      <c r="E461" s="51"/>
      <c r="F461" s="51"/>
      <c r="G461" s="51"/>
      <c r="H461" s="38"/>
      <c r="I461" s="51"/>
      <c r="J461" s="51"/>
      <c r="K461" s="52"/>
      <c r="L461" s="52"/>
      <c r="M461" s="52"/>
      <c r="N461" s="52"/>
      <c r="O461" s="52"/>
    </row>
    <row r="462" spans="1:15" s="32" customFormat="1">
      <c r="A462" s="38"/>
      <c r="B462" s="50"/>
      <c r="C462" s="50"/>
      <c r="D462" s="50"/>
      <c r="E462" s="51"/>
      <c r="F462" s="51"/>
      <c r="G462" s="51"/>
      <c r="H462" s="38"/>
      <c r="I462" s="51"/>
      <c r="J462" s="51"/>
      <c r="K462" s="52"/>
      <c r="L462" s="52"/>
      <c r="M462" s="52"/>
      <c r="N462" s="52"/>
      <c r="O462" s="52"/>
    </row>
    <row r="463" spans="1:15" s="32" customFormat="1">
      <c r="A463" s="38"/>
      <c r="B463" s="50"/>
      <c r="C463" s="50"/>
      <c r="D463" s="50"/>
      <c r="E463" s="51"/>
      <c r="F463" s="51"/>
      <c r="G463" s="51"/>
      <c r="H463" s="38"/>
      <c r="I463" s="51"/>
      <c r="J463" s="51"/>
      <c r="K463" s="52"/>
      <c r="L463" s="52"/>
      <c r="M463" s="52"/>
      <c r="N463" s="52"/>
      <c r="O463" s="52"/>
    </row>
    <row r="464" spans="1:15" s="32" customFormat="1">
      <c r="A464" s="38"/>
      <c r="B464" s="50"/>
      <c r="C464" s="50"/>
      <c r="D464" s="50"/>
      <c r="E464" s="51"/>
      <c r="F464" s="51"/>
      <c r="G464" s="51"/>
      <c r="H464" s="38"/>
      <c r="I464" s="51"/>
      <c r="J464" s="51"/>
      <c r="K464" s="52"/>
      <c r="L464" s="52"/>
      <c r="M464" s="52"/>
      <c r="N464" s="52"/>
      <c r="O464" s="52"/>
    </row>
    <row r="465" spans="1:15" s="32" customFormat="1">
      <c r="A465" s="38"/>
      <c r="B465" s="50"/>
      <c r="C465" s="50"/>
      <c r="D465" s="50"/>
      <c r="E465" s="51"/>
      <c r="F465" s="51"/>
      <c r="G465" s="51"/>
      <c r="H465" s="38"/>
      <c r="I465" s="51"/>
      <c r="J465" s="51"/>
      <c r="K465" s="52"/>
      <c r="L465" s="52"/>
      <c r="M465" s="52"/>
      <c r="N465" s="52"/>
      <c r="O465" s="52"/>
    </row>
    <row r="466" spans="1:15" s="32" customFormat="1">
      <c r="A466" s="38"/>
      <c r="B466" s="50"/>
      <c r="C466" s="50"/>
      <c r="D466" s="50"/>
      <c r="E466" s="51"/>
      <c r="F466" s="51"/>
      <c r="G466" s="51"/>
      <c r="H466" s="38"/>
      <c r="I466" s="51"/>
      <c r="J466" s="51"/>
      <c r="K466" s="52"/>
      <c r="L466" s="52"/>
      <c r="M466" s="52"/>
      <c r="N466" s="52"/>
      <c r="O466" s="52"/>
    </row>
    <row r="467" spans="1:15" s="32" customFormat="1">
      <c r="A467" s="38"/>
      <c r="B467" s="50"/>
      <c r="C467" s="50"/>
      <c r="D467" s="50"/>
      <c r="E467" s="51"/>
      <c r="F467" s="51"/>
      <c r="G467" s="51"/>
      <c r="H467" s="38"/>
      <c r="I467" s="51"/>
      <c r="J467" s="51"/>
      <c r="K467" s="52"/>
      <c r="L467" s="52"/>
      <c r="M467" s="52"/>
      <c r="N467" s="52"/>
      <c r="O467" s="52"/>
    </row>
    <row r="468" spans="1:15" s="32" customFormat="1">
      <c r="A468" s="38"/>
      <c r="B468" s="50"/>
      <c r="C468" s="50"/>
      <c r="D468" s="50"/>
      <c r="E468" s="51"/>
      <c r="F468" s="51"/>
      <c r="G468" s="51"/>
      <c r="H468" s="38"/>
      <c r="I468" s="51"/>
      <c r="J468" s="51"/>
      <c r="K468" s="52"/>
      <c r="L468" s="52"/>
      <c r="M468" s="52"/>
      <c r="N468" s="52"/>
      <c r="O468" s="52"/>
    </row>
    <row r="469" spans="1:15" s="32" customFormat="1">
      <c r="A469" s="38"/>
      <c r="B469" s="50"/>
      <c r="C469" s="50"/>
      <c r="D469" s="50"/>
      <c r="E469" s="51"/>
      <c r="F469" s="51"/>
      <c r="G469" s="51"/>
      <c r="H469" s="38"/>
      <c r="I469" s="51"/>
      <c r="J469" s="51"/>
      <c r="K469" s="52"/>
      <c r="L469" s="52"/>
      <c r="M469" s="52"/>
      <c r="N469" s="52"/>
      <c r="O469" s="52"/>
    </row>
    <row r="470" spans="1:15" s="32" customFormat="1">
      <c r="A470" s="38"/>
      <c r="B470" s="50"/>
      <c r="C470" s="50"/>
      <c r="D470" s="50"/>
      <c r="E470" s="51"/>
      <c r="F470" s="51"/>
      <c r="G470" s="51"/>
      <c r="H470" s="38"/>
      <c r="I470" s="51"/>
      <c r="J470" s="51"/>
      <c r="K470" s="52"/>
      <c r="L470" s="52"/>
      <c r="M470" s="52"/>
      <c r="N470" s="52"/>
      <c r="O470" s="52"/>
    </row>
    <row r="471" spans="1:15" s="32" customFormat="1">
      <c r="A471" s="38"/>
      <c r="B471" s="50"/>
      <c r="C471" s="50"/>
      <c r="D471" s="50"/>
      <c r="E471" s="51"/>
      <c r="F471" s="51"/>
      <c r="G471" s="51"/>
      <c r="H471" s="38"/>
      <c r="I471" s="51"/>
      <c r="J471" s="51"/>
      <c r="K471" s="52"/>
      <c r="L471" s="52"/>
      <c r="M471" s="52"/>
      <c r="N471" s="52"/>
      <c r="O471" s="52"/>
    </row>
    <row r="472" spans="1:15" s="32" customFormat="1">
      <c r="A472" s="38"/>
      <c r="B472" s="50"/>
      <c r="C472" s="50"/>
      <c r="D472" s="50"/>
      <c r="E472" s="51"/>
      <c r="F472" s="51"/>
      <c r="G472" s="51"/>
      <c r="H472" s="38"/>
      <c r="I472" s="51"/>
      <c r="J472" s="51"/>
      <c r="K472" s="52"/>
      <c r="L472" s="52"/>
      <c r="M472" s="52"/>
      <c r="N472" s="52"/>
      <c r="O472" s="52"/>
    </row>
    <row r="473" spans="1:15" s="32" customFormat="1">
      <c r="A473" s="38"/>
      <c r="B473" s="50"/>
      <c r="C473" s="50"/>
      <c r="D473" s="50"/>
      <c r="E473" s="51"/>
      <c r="F473" s="51"/>
      <c r="G473" s="51"/>
      <c r="H473" s="38"/>
      <c r="I473" s="51"/>
      <c r="J473" s="51"/>
      <c r="K473" s="52"/>
      <c r="L473" s="52"/>
      <c r="M473" s="52"/>
      <c r="N473" s="52"/>
      <c r="O473" s="52"/>
    </row>
    <row r="474" spans="1:15" s="32" customFormat="1">
      <c r="A474" s="38"/>
      <c r="B474" s="50"/>
      <c r="C474" s="50"/>
      <c r="D474" s="50"/>
      <c r="E474" s="51"/>
      <c r="F474" s="51"/>
      <c r="G474" s="51"/>
      <c r="H474" s="38"/>
      <c r="I474" s="51"/>
      <c r="J474" s="51"/>
      <c r="K474" s="52"/>
      <c r="L474" s="52"/>
      <c r="M474" s="52"/>
      <c r="N474" s="52"/>
      <c r="O474" s="52"/>
    </row>
    <row r="475" spans="1:15" s="32" customFormat="1">
      <c r="A475" s="38"/>
      <c r="B475" s="50"/>
      <c r="C475" s="50"/>
      <c r="D475" s="50"/>
      <c r="E475" s="51"/>
      <c r="F475" s="51"/>
      <c r="G475" s="51"/>
      <c r="H475" s="38"/>
      <c r="I475" s="51"/>
      <c r="J475" s="51"/>
      <c r="K475" s="52"/>
      <c r="L475" s="52"/>
      <c r="M475" s="52"/>
      <c r="N475" s="52"/>
      <c r="O475" s="52"/>
    </row>
    <row r="476" spans="1:15" s="32" customFormat="1">
      <c r="A476" s="38"/>
      <c r="B476" s="50"/>
      <c r="C476" s="50"/>
      <c r="D476" s="50"/>
      <c r="E476" s="51"/>
      <c r="F476" s="51"/>
      <c r="G476" s="51"/>
      <c r="H476" s="38"/>
      <c r="I476" s="51"/>
      <c r="J476" s="51"/>
      <c r="K476" s="52"/>
      <c r="L476" s="52"/>
      <c r="M476" s="52"/>
      <c r="N476" s="52"/>
      <c r="O476" s="52"/>
    </row>
    <row r="477" spans="1:15" s="32" customFormat="1">
      <c r="A477" s="38"/>
      <c r="B477" s="50"/>
      <c r="C477" s="50"/>
      <c r="D477" s="50"/>
      <c r="E477" s="51"/>
      <c r="F477" s="51"/>
      <c r="G477" s="51"/>
      <c r="H477" s="38"/>
      <c r="I477" s="51"/>
      <c r="J477" s="51"/>
      <c r="K477" s="52"/>
      <c r="L477" s="52"/>
      <c r="M477" s="52"/>
      <c r="N477" s="52"/>
      <c r="O477" s="52"/>
    </row>
    <row r="478" spans="1:15" s="32" customFormat="1">
      <c r="A478" s="38"/>
      <c r="B478" s="50"/>
      <c r="C478" s="50"/>
      <c r="D478" s="50"/>
      <c r="E478" s="51"/>
      <c r="F478" s="51"/>
      <c r="G478" s="51"/>
      <c r="H478" s="38"/>
      <c r="I478" s="51"/>
      <c r="J478" s="51"/>
      <c r="K478" s="52"/>
      <c r="L478" s="52"/>
      <c r="M478" s="52"/>
      <c r="N478" s="52"/>
      <c r="O478" s="52"/>
    </row>
    <row r="479" spans="1:15" s="32" customFormat="1">
      <c r="A479" s="38"/>
      <c r="B479" s="50"/>
      <c r="C479" s="50"/>
      <c r="D479" s="50"/>
      <c r="E479" s="51"/>
      <c r="F479" s="51"/>
      <c r="G479" s="51"/>
      <c r="H479" s="38"/>
      <c r="I479" s="51"/>
      <c r="J479" s="51"/>
      <c r="K479" s="52"/>
      <c r="L479" s="52"/>
      <c r="M479" s="52"/>
      <c r="N479" s="52"/>
      <c r="O479" s="52"/>
    </row>
    <row r="480" spans="1:15" s="32" customFormat="1">
      <c r="A480" s="38"/>
      <c r="B480" s="50"/>
      <c r="C480" s="50"/>
      <c r="D480" s="50"/>
      <c r="E480" s="51"/>
      <c r="F480" s="51"/>
      <c r="G480" s="51"/>
      <c r="H480" s="38"/>
      <c r="I480" s="51"/>
      <c r="J480" s="51"/>
      <c r="K480" s="52"/>
      <c r="L480" s="52"/>
      <c r="M480" s="52"/>
      <c r="N480" s="52"/>
      <c r="O480" s="52"/>
    </row>
    <row r="481" spans="1:15" s="32" customFormat="1">
      <c r="A481" s="38"/>
      <c r="B481" s="50"/>
      <c r="C481" s="50"/>
      <c r="D481" s="50"/>
      <c r="E481" s="51"/>
      <c r="F481" s="51"/>
      <c r="G481" s="51"/>
      <c r="H481" s="38"/>
      <c r="I481" s="51"/>
      <c r="J481" s="51"/>
      <c r="K481" s="52"/>
      <c r="L481" s="52"/>
      <c r="M481" s="52"/>
      <c r="N481" s="52"/>
      <c r="O481" s="52"/>
    </row>
    <row r="482" spans="1:15" s="32" customFormat="1">
      <c r="A482" s="38"/>
      <c r="B482" s="50"/>
      <c r="C482" s="50"/>
      <c r="D482" s="50"/>
      <c r="E482" s="51"/>
      <c r="F482" s="51"/>
      <c r="G482" s="51"/>
      <c r="H482" s="38"/>
      <c r="I482" s="51"/>
      <c r="J482" s="51"/>
      <c r="K482" s="52"/>
      <c r="L482" s="52"/>
      <c r="M482" s="52"/>
      <c r="N482" s="52"/>
      <c r="O482" s="52"/>
    </row>
    <row r="483" spans="1:15" s="32" customFormat="1">
      <c r="A483" s="38"/>
      <c r="B483" s="50"/>
      <c r="C483" s="50"/>
      <c r="D483" s="50"/>
      <c r="E483" s="51"/>
      <c r="F483" s="51"/>
      <c r="G483" s="51"/>
      <c r="H483" s="38"/>
      <c r="I483" s="51"/>
      <c r="J483" s="51"/>
      <c r="K483" s="52"/>
      <c r="L483" s="52"/>
      <c r="M483" s="52"/>
      <c r="N483" s="52"/>
      <c r="O483" s="52"/>
    </row>
    <row r="484" spans="1:15" s="32" customFormat="1">
      <c r="A484" s="38"/>
      <c r="B484" s="50"/>
      <c r="C484" s="50"/>
      <c r="D484" s="50"/>
      <c r="E484" s="51"/>
      <c r="F484" s="51"/>
      <c r="G484" s="51"/>
      <c r="H484" s="38"/>
      <c r="I484" s="51"/>
      <c r="J484" s="51"/>
      <c r="K484" s="52"/>
      <c r="L484" s="52"/>
      <c r="M484" s="52"/>
      <c r="N484" s="52"/>
      <c r="O484" s="52"/>
    </row>
    <row r="485" spans="1:15" s="32" customFormat="1">
      <c r="A485" s="38"/>
      <c r="B485" s="50"/>
      <c r="C485" s="50"/>
      <c r="D485" s="50"/>
      <c r="E485" s="51"/>
      <c r="F485" s="51"/>
      <c r="G485" s="51"/>
      <c r="H485" s="38"/>
      <c r="I485" s="51"/>
      <c r="J485" s="51"/>
      <c r="K485" s="52"/>
      <c r="L485" s="52"/>
      <c r="M485" s="52"/>
      <c r="N485" s="52"/>
      <c r="O485" s="52"/>
    </row>
    <row r="486" spans="1:15" s="32" customFormat="1">
      <c r="A486" s="38"/>
      <c r="B486" s="50"/>
      <c r="C486" s="50"/>
      <c r="D486" s="50"/>
      <c r="E486" s="51"/>
      <c r="F486" s="51"/>
      <c r="G486" s="51"/>
      <c r="H486" s="38"/>
      <c r="I486" s="51"/>
      <c r="J486" s="51"/>
      <c r="K486" s="52"/>
      <c r="L486" s="52"/>
      <c r="M486" s="52"/>
      <c r="N486" s="52"/>
      <c r="O486" s="52"/>
    </row>
    <row r="487" spans="1:15" s="32" customFormat="1">
      <c r="A487" s="38"/>
      <c r="B487" s="50"/>
      <c r="C487" s="50"/>
      <c r="D487" s="50"/>
      <c r="E487" s="51"/>
      <c r="F487" s="51"/>
      <c r="G487" s="51"/>
      <c r="H487" s="38"/>
      <c r="I487" s="51"/>
      <c r="J487" s="51"/>
      <c r="K487" s="52"/>
      <c r="L487" s="52"/>
      <c r="M487" s="52"/>
      <c r="N487" s="52"/>
      <c r="O487" s="52"/>
    </row>
    <row r="488" spans="1:15" s="32" customFormat="1">
      <c r="A488" s="38"/>
      <c r="B488" s="50"/>
      <c r="C488" s="50"/>
      <c r="D488" s="50"/>
      <c r="E488" s="51"/>
      <c r="F488" s="51"/>
      <c r="G488" s="51"/>
      <c r="H488" s="38"/>
      <c r="I488" s="51"/>
      <c r="J488" s="51"/>
      <c r="K488" s="52"/>
      <c r="L488" s="52"/>
      <c r="M488" s="52"/>
      <c r="N488" s="52"/>
      <c r="O488" s="52"/>
    </row>
    <row r="489" spans="1:15" s="32" customFormat="1">
      <c r="A489" s="38"/>
      <c r="B489" s="50"/>
      <c r="C489" s="50"/>
      <c r="D489" s="50"/>
      <c r="E489" s="51"/>
      <c r="F489" s="51"/>
      <c r="G489" s="51"/>
      <c r="H489" s="38"/>
      <c r="I489" s="51"/>
      <c r="J489" s="51"/>
      <c r="K489" s="52"/>
      <c r="L489" s="52"/>
      <c r="M489" s="52"/>
      <c r="N489" s="52"/>
      <c r="O489" s="52"/>
    </row>
    <row r="490" spans="1:15" s="32" customFormat="1">
      <c r="A490" s="38"/>
      <c r="B490" s="50"/>
      <c r="C490" s="50"/>
      <c r="D490" s="50"/>
      <c r="E490" s="51"/>
      <c r="F490" s="51"/>
      <c r="G490" s="51"/>
      <c r="H490" s="38"/>
      <c r="I490" s="51"/>
      <c r="J490" s="51"/>
      <c r="K490" s="52"/>
      <c r="L490" s="52"/>
      <c r="M490" s="52"/>
      <c r="N490" s="52"/>
      <c r="O490" s="52"/>
    </row>
    <row r="491" spans="1:15" s="32" customFormat="1">
      <c r="A491" s="38"/>
      <c r="B491" s="50"/>
      <c r="C491" s="50"/>
      <c r="D491" s="50"/>
      <c r="E491" s="51"/>
      <c r="F491" s="51"/>
      <c r="G491" s="51"/>
      <c r="H491" s="38"/>
      <c r="I491" s="51"/>
      <c r="J491" s="51"/>
      <c r="K491" s="52"/>
      <c r="L491" s="52"/>
      <c r="M491" s="52"/>
      <c r="N491" s="52"/>
      <c r="O491" s="52"/>
    </row>
    <row r="492" spans="1:15" s="32" customFormat="1">
      <c r="A492" s="38"/>
      <c r="B492" s="50"/>
      <c r="C492" s="50"/>
      <c r="D492" s="50"/>
      <c r="E492" s="51"/>
      <c r="F492" s="51"/>
      <c r="G492" s="51"/>
      <c r="H492" s="38"/>
      <c r="I492" s="51"/>
      <c r="J492" s="51"/>
      <c r="K492" s="52"/>
      <c r="L492" s="52"/>
      <c r="M492" s="52"/>
      <c r="N492" s="52"/>
      <c r="O492" s="52"/>
    </row>
    <row r="493" spans="1:15" s="32" customFormat="1">
      <c r="A493" s="38"/>
      <c r="B493" s="50"/>
      <c r="C493" s="50"/>
      <c r="D493" s="50"/>
      <c r="E493" s="51"/>
      <c r="F493" s="51"/>
      <c r="G493" s="51"/>
      <c r="H493" s="38"/>
      <c r="I493" s="51"/>
      <c r="J493" s="51"/>
      <c r="K493" s="52"/>
      <c r="L493" s="52"/>
      <c r="M493" s="52"/>
      <c r="N493" s="52"/>
      <c r="O493" s="52"/>
    </row>
    <row r="494" spans="1:15" s="32" customFormat="1">
      <c r="A494" s="38"/>
      <c r="B494" s="50"/>
      <c r="C494" s="50"/>
      <c r="D494" s="50"/>
      <c r="E494" s="51"/>
      <c r="F494" s="51"/>
      <c r="G494" s="51"/>
      <c r="H494" s="38"/>
      <c r="I494" s="51"/>
      <c r="J494" s="51"/>
      <c r="K494" s="52"/>
      <c r="L494" s="52"/>
      <c r="M494" s="52"/>
      <c r="N494" s="52"/>
      <c r="O494" s="52"/>
    </row>
    <row r="495" spans="1:15" s="32" customFormat="1">
      <c r="A495" s="38"/>
      <c r="B495" s="50"/>
      <c r="C495" s="50"/>
      <c r="D495" s="50"/>
      <c r="E495" s="51"/>
      <c r="F495" s="51"/>
      <c r="G495" s="51"/>
      <c r="H495" s="38"/>
      <c r="I495" s="51"/>
      <c r="J495" s="51"/>
      <c r="K495" s="52"/>
      <c r="L495" s="52"/>
      <c r="M495" s="52"/>
      <c r="N495" s="52"/>
      <c r="O495" s="52"/>
    </row>
    <row r="496" spans="1:15" s="32" customFormat="1">
      <c r="A496" s="38"/>
      <c r="B496" s="50"/>
      <c r="C496" s="50"/>
      <c r="D496" s="50"/>
      <c r="E496" s="51"/>
      <c r="F496" s="51"/>
      <c r="G496" s="51"/>
      <c r="H496" s="38"/>
      <c r="I496" s="51"/>
      <c r="J496" s="51"/>
      <c r="K496" s="52"/>
      <c r="L496" s="52"/>
      <c r="M496" s="52"/>
      <c r="N496" s="52"/>
      <c r="O496" s="52"/>
    </row>
    <row r="497" spans="1:15" s="32" customFormat="1">
      <c r="A497" s="38"/>
      <c r="B497" s="50"/>
      <c r="C497" s="50"/>
      <c r="D497" s="50"/>
      <c r="E497" s="51"/>
      <c r="F497" s="51"/>
      <c r="G497" s="51"/>
      <c r="H497" s="38"/>
      <c r="I497" s="51"/>
      <c r="J497" s="51"/>
      <c r="K497" s="52"/>
      <c r="L497" s="52"/>
      <c r="M497" s="52"/>
      <c r="N497" s="52"/>
      <c r="O497" s="52"/>
    </row>
    <row r="498" spans="1:15">
      <c r="A498" s="38"/>
      <c r="B498" s="50"/>
      <c r="C498" s="50"/>
      <c r="D498" s="50"/>
      <c r="E498" s="51"/>
      <c r="F498" s="51"/>
      <c r="G498" s="51"/>
      <c r="H498" s="38"/>
      <c r="I498" s="51"/>
      <c r="J498" s="51"/>
      <c r="K498" s="52"/>
      <c r="L498" s="52"/>
      <c r="M498" s="52"/>
      <c r="N498" s="52"/>
      <c r="O498" s="52"/>
    </row>
    <row r="499" spans="1:15">
      <c r="A499" s="38"/>
      <c r="B499" s="50"/>
      <c r="C499" s="50"/>
      <c r="D499" s="50"/>
      <c r="E499" s="51"/>
      <c r="F499" s="51"/>
      <c r="G499" s="51"/>
      <c r="H499" s="38"/>
      <c r="I499" s="51"/>
      <c r="J499" s="51"/>
      <c r="K499" s="52"/>
      <c r="L499" s="52"/>
      <c r="M499" s="52"/>
      <c r="N499" s="52"/>
      <c r="O499" s="52"/>
    </row>
    <row r="500" spans="1:15">
      <c r="A500" s="38"/>
      <c r="B500" s="50"/>
      <c r="C500" s="50"/>
      <c r="D500" s="50"/>
      <c r="E500" s="51"/>
      <c r="F500" s="51"/>
      <c r="G500" s="51"/>
      <c r="H500" s="38"/>
      <c r="I500" s="51"/>
      <c r="J500" s="51"/>
      <c r="K500" s="52"/>
      <c r="L500" s="52"/>
      <c r="M500" s="52"/>
      <c r="N500" s="52"/>
      <c r="O500" s="52"/>
    </row>
    <row r="501" spans="1:15">
      <c r="A501" s="38"/>
      <c r="B501" s="50"/>
      <c r="C501" s="50"/>
      <c r="D501" s="50"/>
      <c r="E501" s="51"/>
      <c r="F501" s="51"/>
      <c r="G501" s="51"/>
      <c r="H501" s="38"/>
      <c r="I501" s="51"/>
      <c r="J501" s="51"/>
      <c r="K501" s="52"/>
      <c r="L501" s="52"/>
      <c r="M501" s="52"/>
      <c r="N501" s="52"/>
      <c r="O501" s="52"/>
    </row>
    <row r="502" spans="1:15">
      <c r="A502" s="38"/>
      <c r="B502" s="50"/>
      <c r="C502" s="50"/>
      <c r="D502" s="50"/>
      <c r="E502" s="51"/>
      <c r="F502" s="51"/>
      <c r="G502" s="51"/>
      <c r="H502" s="38"/>
      <c r="I502" s="51"/>
      <c r="J502" s="51"/>
      <c r="K502" s="52"/>
      <c r="L502" s="52"/>
      <c r="M502" s="52"/>
      <c r="N502" s="52"/>
      <c r="O502" s="52"/>
    </row>
    <row r="503" spans="1:15">
      <c r="A503" s="38"/>
      <c r="B503" s="50"/>
      <c r="C503" s="50"/>
      <c r="D503" s="50"/>
      <c r="E503" s="51"/>
      <c r="F503" s="51"/>
      <c r="G503" s="51"/>
      <c r="H503" s="38"/>
      <c r="I503" s="51"/>
      <c r="J503" s="51"/>
      <c r="K503" s="52"/>
      <c r="L503" s="52"/>
      <c r="M503" s="52"/>
      <c r="N503" s="52"/>
      <c r="O503" s="52"/>
    </row>
    <row r="504" spans="1:15">
      <c r="A504" s="38"/>
      <c r="B504" s="50"/>
      <c r="C504" s="50"/>
      <c r="D504" s="50"/>
      <c r="E504" s="51"/>
      <c r="F504" s="51"/>
      <c r="G504" s="51"/>
      <c r="H504" s="38"/>
      <c r="I504" s="51"/>
      <c r="J504" s="51"/>
      <c r="K504" s="52"/>
      <c r="L504" s="52"/>
      <c r="M504" s="52"/>
      <c r="N504" s="52"/>
      <c r="O504" s="52"/>
    </row>
    <row r="505" spans="1:15">
      <c r="A505" s="38"/>
      <c r="B505" s="50"/>
      <c r="C505" s="50"/>
      <c r="D505" s="50"/>
      <c r="E505" s="51"/>
      <c r="F505" s="51"/>
      <c r="G505" s="51"/>
      <c r="H505" s="38"/>
      <c r="I505" s="51"/>
      <c r="J505" s="51"/>
      <c r="K505" s="52"/>
      <c r="L505" s="52"/>
      <c r="M505" s="52"/>
      <c r="N505" s="52"/>
      <c r="O505" s="52"/>
    </row>
    <row r="506" spans="1:15">
      <c r="A506" s="38"/>
      <c r="B506" s="50"/>
      <c r="C506" s="50"/>
      <c r="D506" s="50"/>
      <c r="E506" s="51"/>
      <c r="F506" s="51"/>
      <c r="G506" s="51"/>
      <c r="H506" s="38"/>
      <c r="I506" s="51"/>
      <c r="J506" s="51"/>
      <c r="K506" s="52"/>
      <c r="L506" s="52"/>
      <c r="M506" s="52"/>
      <c r="N506" s="52"/>
      <c r="O506" s="52"/>
    </row>
    <row r="507" spans="1:15">
      <c r="A507" s="38"/>
      <c r="B507" s="50"/>
      <c r="C507" s="50"/>
      <c r="D507" s="50"/>
      <c r="E507" s="51"/>
      <c r="F507" s="51"/>
      <c r="G507" s="51"/>
      <c r="H507" s="38"/>
      <c r="I507" s="51"/>
      <c r="J507" s="51"/>
      <c r="K507" s="52"/>
      <c r="L507" s="52"/>
      <c r="M507" s="52"/>
      <c r="N507" s="52"/>
      <c r="O507" s="52"/>
    </row>
    <row r="508" spans="1:15">
      <c r="A508" s="38"/>
      <c r="B508" s="50"/>
      <c r="C508" s="50"/>
      <c r="D508" s="50"/>
      <c r="E508" s="51"/>
      <c r="F508" s="51"/>
      <c r="G508" s="51"/>
      <c r="H508" s="38"/>
      <c r="I508" s="51"/>
      <c r="J508" s="51"/>
      <c r="K508" s="52"/>
      <c r="L508" s="52"/>
      <c r="M508" s="52"/>
      <c r="N508" s="52"/>
      <c r="O508" s="52"/>
    </row>
    <row r="509" spans="1:15">
      <c r="A509" s="38"/>
      <c r="B509" s="50"/>
      <c r="C509" s="50"/>
      <c r="D509" s="50"/>
      <c r="E509" s="51"/>
      <c r="F509" s="51"/>
      <c r="G509" s="51"/>
      <c r="H509" s="38"/>
      <c r="I509" s="51"/>
      <c r="J509" s="51"/>
      <c r="K509" s="52"/>
      <c r="L509" s="52"/>
      <c r="M509" s="52"/>
      <c r="N509" s="52"/>
      <c r="O509" s="52"/>
    </row>
    <row r="510" spans="1:15">
      <c r="A510" s="38"/>
      <c r="B510" s="50"/>
      <c r="C510" s="50"/>
      <c r="D510" s="50"/>
      <c r="E510" s="51"/>
      <c r="F510" s="51"/>
      <c r="G510" s="51"/>
      <c r="H510" s="38"/>
      <c r="I510" s="51"/>
      <c r="J510" s="51"/>
      <c r="K510" s="52"/>
      <c r="L510" s="52"/>
      <c r="M510" s="52"/>
      <c r="N510" s="52"/>
      <c r="O510" s="52"/>
    </row>
    <row r="511" spans="1:15">
      <c r="A511" s="38"/>
      <c r="B511" s="50"/>
      <c r="C511" s="50"/>
      <c r="D511" s="50"/>
      <c r="E511" s="51"/>
      <c r="F511" s="51"/>
      <c r="G511" s="51"/>
      <c r="H511" s="38"/>
      <c r="I511" s="51"/>
      <c r="J511" s="51"/>
      <c r="K511" s="52"/>
      <c r="L511" s="52"/>
      <c r="M511" s="52"/>
      <c r="N511" s="52"/>
      <c r="O511" s="52"/>
    </row>
    <row r="512" spans="1:15">
      <c r="A512" s="38"/>
      <c r="B512" s="50"/>
      <c r="C512" s="50"/>
      <c r="D512" s="50"/>
      <c r="E512" s="51"/>
      <c r="F512" s="51"/>
      <c r="G512" s="51"/>
      <c r="H512" s="38"/>
      <c r="I512" s="51"/>
      <c r="J512" s="51"/>
      <c r="K512" s="52"/>
      <c r="L512" s="52"/>
      <c r="M512" s="52"/>
      <c r="N512" s="52"/>
      <c r="O512" s="52"/>
    </row>
    <row r="513" spans="1:15">
      <c r="A513" s="38"/>
      <c r="B513" s="50"/>
      <c r="C513" s="50"/>
      <c r="D513" s="50"/>
      <c r="E513" s="51"/>
      <c r="F513" s="51"/>
      <c r="G513" s="51"/>
      <c r="H513" s="38"/>
      <c r="I513" s="51"/>
      <c r="J513" s="51"/>
      <c r="K513" s="52"/>
      <c r="L513" s="52"/>
      <c r="M513" s="52"/>
      <c r="N513" s="52"/>
      <c r="O513" s="52"/>
    </row>
    <row r="514" spans="1:15">
      <c r="A514" s="38"/>
      <c r="B514" s="50"/>
      <c r="C514" s="50"/>
      <c r="D514" s="50"/>
      <c r="E514" s="51"/>
      <c r="F514" s="51"/>
      <c r="G514" s="51"/>
      <c r="H514" s="38"/>
      <c r="I514" s="51"/>
      <c r="J514" s="51"/>
      <c r="K514" s="52"/>
      <c r="L514" s="52"/>
      <c r="M514" s="52"/>
      <c r="N514" s="52"/>
      <c r="O514" s="52"/>
    </row>
    <row r="515" spans="1:15">
      <c r="A515" s="38"/>
      <c r="B515" s="50"/>
      <c r="C515" s="50"/>
      <c r="D515" s="50"/>
      <c r="E515" s="51"/>
      <c r="F515" s="51"/>
      <c r="G515" s="51"/>
      <c r="H515" s="38"/>
      <c r="I515" s="51"/>
      <c r="J515" s="51"/>
      <c r="K515" s="52"/>
      <c r="L515" s="52"/>
      <c r="M515" s="52"/>
      <c r="N515" s="52"/>
      <c r="O515" s="52"/>
    </row>
    <row r="516" spans="1:15">
      <c r="A516" s="38"/>
      <c r="B516" s="50"/>
      <c r="C516" s="50"/>
      <c r="D516" s="50"/>
      <c r="E516" s="51"/>
      <c r="F516" s="51"/>
      <c r="G516" s="51"/>
      <c r="H516" s="38"/>
      <c r="I516" s="51"/>
      <c r="J516" s="51"/>
      <c r="K516" s="52"/>
      <c r="L516" s="52"/>
      <c r="M516" s="52"/>
      <c r="N516" s="52"/>
      <c r="O516" s="52"/>
    </row>
    <row r="517" spans="1:15">
      <c r="A517" s="38"/>
      <c r="B517" s="50"/>
      <c r="C517" s="50"/>
      <c r="D517" s="50"/>
      <c r="E517" s="51"/>
      <c r="F517" s="51"/>
      <c r="G517" s="51"/>
      <c r="H517" s="38"/>
      <c r="I517" s="51"/>
      <c r="J517" s="51"/>
      <c r="K517" s="52"/>
      <c r="L517" s="52"/>
      <c r="M517" s="52"/>
      <c r="N517" s="52"/>
      <c r="O517" s="52"/>
    </row>
    <row r="518" spans="1:15">
      <c r="A518" s="38"/>
      <c r="B518" s="50"/>
      <c r="C518" s="50"/>
      <c r="D518" s="50"/>
      <c r="E518" s="51"/>
      <c r="F518" s="51"/>
      <c r="G518" s="51"/>
      <c r="H518" s="38"/>
      <c r="I518" s="51"/>
      <c r="J518" s="51"/>
      <c r="K518" s="52"/>
      <c r="L518" s="52"/>
      <c r="M518" s="52"/>
      <c r="N518" s="52"/>
      <c r="O518" s="52"/>
    </row>
    <row r="519" spans="1:15">
      <c r="A519" s="38"/>
      <c r="B519" s="50"/>
      <c r="C519" s="50"/>
      <c r="D519" s="50"/>
      <c r="E519" s="51"/>
      <c r="F519" s="51"/>
      <c r="G519" s="51"/>
      <c r="H519" s="38"/>
      <c r="I519" s="51"/>
      <c r="J519" s="51"/>
      <c r="K519" s="52"/>
      <c r="L519" s="52"/>
      <c r="M519" s="52"/>
      <c r="N519" s="52"/>
      <c r="O519" s="52"/>
    </row>
    <row r="520" spans="1:15">
      <c r="A520" s="38"/>
      <c r="B520" s="50"/>
      <c r="C520" s="50"/>
      <c r="D520" s="50"/>
      <c r="E520" s="51"/>
      <c r="F520" s="51"/>
      <c r="G520" s="51"/>
      <c r="H520" s="38"/>
      <c r="I520" s="51"/>
      <c r="J520" s="51"/>
      <c r="K520" s="52"/>
      <c r="L520" s="52"/>
      <c r="M520" s="52"/>
      <c r="N520" s="52"/>
      <c r="O520" s="52"/>
    </row>
    <row r="521" spans="1:15">
      <c r="A521" s="38"/>
      <c r="B521" s="50"/>
      <c r="C521" s="50"/>
      <c r="D521" s="50"/>
      <c r="E521" s="51"/>
      <c r="F521" s="51"/>
      <c r="G521" s="51"/>
      <c r="H521" s="38"/>
      <c r="I521" s="51"/>
      <c r="J521" s="51"/>
      <c r="K521" s="52"/>
      <c r="L521" s="52"/>
      <c r="M521" s="52"/>
      <c r="N521" s="52"/>
      <c r="O521" s="52"/>
    </row>
    <row r="522" spans="1:15">
      <c r="A522" s="38"/>
      <c r="B522" s="50"/>
      <c r="C522" s="50"/>
      <c r="D522" s="50"/>
      <c r="E522" s="51"/>
      <c r="F522" s="51"/>
      <c r="G522" s="51"/>
      <c r="H522" s="38"/>
      <c r="I522" s="51"/>
      <c r="J522" s="51"/>
      <c r="K522" s="52"/>
      <c r="L522" s="52"/>
      <c r="M522" s="52"/>
      <c r="N522" s="52"/>
      <c r="O522" s="52"/>
    </row>
    <row r="523" spans="1:15">
      <c r="A523" s="38"/>
      <c r="B523" s="50"/>
      <c r="C523" s="50"/>
      <c r="D523" s="50"/>
      <c r="E523" s="51"/>
      <c r="F523" s="51"/>
      <c r="G523" s="51"/>
      <c r="H523" s="38"/>
      <c r="I523" s="51"/>
      <c r="J523" s="51"/>
      <c r="K523" s="52"/>
      <c r="L523" s="52"/>
      <c r="M523" s="52"/>
      <c r="N523" s="52"/>
      <c r="O523" s="52"/>
    </row>
    <row r="524" spans="1:15">
      <c r="A524" s="38"/>
      <c r="B524" s="50"/>
      <c r="C524" s="50"/>
      <c r="D524" s="50"/>
      <c r="E524" s="51"/>
      <c r="F524" s="51"/>
      <c r="G524" s="51"/>
      <c r="H524" s="38"/>
      <c r="I524" s="51"/>
      <c r="J524" s="51"/>
      <c r="K524" s="52"/>
      <c r="L524" s="52"/>
      <c r="M524" s="52"/>
      <c r="N524" s="52"/>
      <c r="O524" s="52"/>
    </row>
    <row r="525" spans="1:15">
      <c r="A525" s="38"/>
      <c r="B525" s="50"/>
      <c r="C525" s="50"/>
      <c r="D525" s="50"/>
      <c r="E525" s="51"/>
      <c r="F525" s="51"/>
      <c r="G525" s="51"/>
      <c r="H525" s="38"/>
      <c r="I525" s="51"/>
      <c r="J525" s="51"/>
      <c r="K525" s="52"/>
      <c r="L525" s="52"/>
      <c r="M525" s="52"/>
      <c r="N525" s="52"/>
      <c r="O525" s="52"/>
    </row>
    <row r="526" spans="1:15">
      <c r="A526" s="38"/>
      <c r="B526" s="50"/>
      <c r="C526" s="50"/>
      <c r="D526" s="50"/>
      <c r="E526" s="51"/>
      <c r="F526" s="51"/>
      <c r="G526" s="51"/>
      <c r="H526" s="38"/>
      <c r="I526" s="51"/>
      <c r="J526" s="51"/>
      <c r="K526" s="52"/>
      <c r="L526" s="52"/>
      <c r="M526" s="52"/>
      <c r="N526" s="52"/>
      <c r="O526" s="52"/>
    </row>
    <row r="527" spans="1:15">
      <c r="A527" s="38"/>
      <c r="B527" s="50"/>
      <c r="C527" s="50"/>
      <c r="D527" s="50"/>
      <c r="E527" s="51"/>
      <c r="F527" s="51"/>
      <c r="G527" s="51"/>
      <c r="H527" s="38"/>
      <c r="I527" s="51"/>
      <c r="J527" s="51"/>
      <c r="K527" s="52"/>
      <c r="L527" s="52"/>
      <c r="M527" s="52"/>
      <c r="N527" s="52"/>
      <c r="O527" s="52"/>
    </row>
    <row r="528" spans="1:15">
      <c r="A528" s="38"/>
      <c r="B528" s="50"/>
      <c r="C528" s="50"/>
      <c r="D528" s="50"/>
      <c r="E528" s="51"/>
      <c r="F528" s="51"/>
      <c r="G528" s="51"/>
      <c r="H528" s="38"/>
      <c r="I528" s="51"/>
      <c r="J528" s="51"/>
      <c r="K528" s="52"/>
      <c r="L528" s="52"/>
      <c r="M528" s="52"/>
      <c r="N528" s="52"/>
      <c r="O528" s="52"/>
    </row>
    <row r="529" spans="1:15">
      <c r="A529" s="38"/>
      <c r="B529" s="50"/>
      <c r="C529" s="50"/>
      <c r="D529" s="50"/>
      <c r="E529" s="51"/>
      <c r="F529" s="51"/>
      <c r="G529" s="51"/>
      <c r="H529" s="38"/>
      <c r="I529" s="51"/>
      <c r="J529" s="51"/>
      <c r="K529" s="52"/>
      <c r="L529" s="52"/>
      <c r="M529" s="52"/>
      <c r="N529" s="52"/>
      <c r="O529" s="52"/>
    </row>
    <row r="530" spans="1:15">
      <c r="A530" s="38"/>
      <c r="B530" s="50"/>
      <c r="C530" s="50"/>
      <c r="D530" s="50"/>
      <c r="E530" s="51"/>
      <c r="F530" s="51"/>
      <c r="G530" s="51"/>
      <c r="H530" s="38"/>
      <c r="I530" s="51"/>
      <c r="J530" s="51"/>
      <c r="K530" s="52"/>
      <c r="L530" s="52"/>
      <c r="M530" s="52"/>
      <c r="N530" s="52"/>
      <c r="O530" s="52"/>
    </row>
    <row r="531" spans="1:15">
      <c r="A531" s="38"/>
      <c r="B531" s="50"/>
      <c r="C531" s="50"/>
      <c r="D531" s="50"/>
      <c r="E531" s="51"/>
      <c r="F531" s="51"/>
      <c r="G531" s="51"/>
      <c r="H531" s="38"/>
      <c r="I531" s="51"/>
      <c r="J531" s="51"/>
      <c r="K531" s="52"/>
      <c r="L531" s="52"/>
      <c r="M531" s="52"/>
      <c r="N531" s="52"/>
      <c r="O531" s="52"/>
    </row>
    <row r="532" spans="1:15">
      <c r="A532" s="38"/>
      <c r="B532" s="50"/>
      <c r="C532" s="50"/>
      <c r="D532" s="50"/>
      <c r="E532" s="51"/>
      <c r="F532" s="51"/>
      <c r="G532" s="51"/>
      <c r="H532" s="38"/>
      <c r="I532" s="51"/>
      <c r="J532" s="51"/>
      <c r="K532" s="52"/>
      <c r="L532" s="52"/>
      <c r="M532" s="52"/>
      <c r="N532" s="52"/>
      <c r="O532" s="52"/>
    </row>
    <row r="533" spans="1:15">
      <c r="A533" s="38"/>
      <c r="B533" s="50"/>
      <c r="C533" s="50"/>
      <c r="D533" s="50"/>
      <c r="E533" s="51"/>
      <c r="F533" s="51"/>
      <c r="G533" s="51"/>
      <c r="H533" s="38"/>
      <c r="I533" s="51"/>
      <c r="J533" s="51"/>
      <c r="K533" s="52"/>
      <c r="L533" s="52"/>
      <c r="M533" s="52"/>
      <c r="N533" s="52"/>
      <c r="O533" s="52"/>
    </row>
    <row r="534" spans="1:15">
      <c r="A534" s="38"/>
      <c r="B534" s="50"/>
      <c r="C534" s="50"/>
      <c r="D534" s="50"/>
      <c r="E534" s="51"/>
      <c r="F534" s="51"/>
      <c r="G534" s="51"/>
      <c r="H534" s="38"/>
      <c r="I534" s="51"/>
      <c r="J534" s="51"/>
      <c r="K534" s="52"/>
      <c r="L534" s="52"/>
      <c r="M534" s="52"/>
      <c r="N534" s="52"/>
      <c r="O534" s="52"/>
    </row>
    <row r="535" spans="1:15">
      <c r="A535" s="38"/>
      <c r="B535" s="50"/>
      <c r="C535" s="50"/>
      <c r="D535" s="50"/>
      <c r="E535" s="51"/>
      <c r="F535" s="51"/>
      <c r="G535" s="51"/>
      <c r="H535" s="38"/>
      <c r="I535" s="51"/>
      <c r="J535" s="51"/>
      <c r="K535" s="52"/>
      <c r="L535" s="52"/>
      <c r="M535" s="52"/>
      <c r="N535" s="52"/>
      <c r="O535" s="52"/>
    </row>
    <row r="536" spans="1:15">
      <c r="A536" s="38"/>
      <c r="B536" s="50"/>
      <c r="C536" s="50"/>
      <c r="D536" s="50"/>
      <c r="E536" s="51"/>
      <c r="F536" s="51"/>
      <c r="G536" s="51"/>
      <c r="H536" s="38"/>
      <c r="I536" s="51"/>
      <c r="J536" s="51"/>
      <c r="K536" s="52"/>
      <c r="L536" s="52"/>
      <c r="M536" s="52"/>
      <c r="N536" s="52"/>
      <c r="O536" s="52"/>
    </row>
    <row r="537" spans="1:15">
      <c r="A537" s="38"/>
      <c r="B537" s="50"/>
      <c r="C537" s="50"/>
      <c r="D537" s="50"/>
      <c r="E537" s="51"/>
      <c r="F537" s="51"/>
      <c r="G537" s="51"/>
      <c r="H537" s="38"/>
      <c r="I537" s="51"/>
      <c r="J537" s="51"/>
      <c r="K537" s="52"/>
      <c r="L537" s="52"/>
      <c r="M537" s="52"/>
      <c r="N537" s="52"/>
      <c r="O537" s="52"/>
    </row>
    <row r="538" spans="1:15">
      <c r="A538" s="38"/>
      <c r="B538" s="50"/>
      <c r="C538" s="50"/>
      <c r="D538" s="50"/>
      <c r="E538" s="51"/>
      <c r="F538" s="51"/>
      <c r="G538" s="51"/>
      <c r="H538" s="38"/>
      <c r="I538" s="51"/>
      <c r="J538" s="51"/>
      <c r="K538" s="52"/>
      <c r="L538" s="52"/>
      <c r="M538" s="52"/>
      <c r="N538" s="52"/>
      <c r="O538" s="52"/>
    </row>
    <row r="539" spans="1:15">
      <c r="A539" s="38"/>
      <c r="B539" s="50"/>
      <c r="C539" s="50"/>
      <c r="D539" s="50"/>
      <c r="E539" s="51"/>
      <c r="F539" s="51"/>
      <c r="G539" s="51"/>
      <c r="H539" s="38"/>
      <c r="I539" s="51"/>
      <c r="J539" s="51"/>
      <c r="K539" s="52"/>
      <c r="L539" s="52"/>
      <c r="M539" s="52"/>
      <c r="N539" s="52"/>
      <c r="O539" s="52"/>
    </row>
    <row r="540" spans="1:15">
      <c r="A540" s="38"/>
      <c r="B540" s="50"/>
      <c r="C540" s="50"/>
      <c r="D540" s="50"/>
      <c r="E540" s="51"/>
      <c r="F540" s="51"/>
      <c r="G540" s="51"/>
      <c r="H540" s="38"/>
      <c r="I540" s="51"/>
      <c r="J540" s="51"/>
      <c r="K540" s="52"/>
      <c r="L540" s="52"/>
      <c r="M540" s="52"/>
      <c r="N540" s="52"/>
      <c r="O540" s="52"/>
    </row>
    <row r="541" spans="1:15">
      <c r="A541" s="38"/>
      <c r="B541" s="50"/>
      <c r="C541" s="50"/>
      <c r="D541" s="50"/>
      <c r="E541" s="51"/>
      <c r="F541" s="51"/>
      <c r="G541" s="51"/>
      <c r="H541" s="38"/>
      <c r="I541" s="51"/>
      <c r="J541" s="51"/>
      <c r="K541" s="52"/>
      <c r="L541" s="52"/>
      <c r="M541" s="52"/>
      <c r="N541" s="52"/>
      <c r="O541" s="52"/>
    </row>
    <row r="542" spans="1:15">
      <c r="A542" s="38"/>
      <c r="B542" s="50"/>
      <c r="C542" s="50"/>
      <c r="D542" s="50"/>
      <c r="E542" s="51"/>
      <c r="F542" s="51"/>
      <c r="G542" s="51"/>
      <c r="H542" s="38"/>
      <c r="I542" s="51"/>
      <c r="J542" s="51"/>
      <c r="K542" s="52"/>
      <c r="L542" s="52"/>
      <c r="M542" s="52"/>
      <c r="N542" s="52"/>
      <c r="O542" s="52"/>
    </row>
    <row r="543" spans="1:15">
      <c r="A543" s="38"/>
      <c r="B543" s="50"/>
      <c r="C543" s="50"/>
      <c r="D543" s="50"/>
      <c r="E543" s="51"/>
      <c r="F543" s="51"/>
      <c r="G543" s="51"/>
      <c r="H543" s="38"/>
      <c r="I543" s="51"/>
      <c r="J543" s="51"/>
      <c r="K543" s="52"/>
      <c r="L543" s="52"/>
      <c r="M543" s="52"/>
      <c r="N543" s="52"/>
      <c r="O543" s="52"/>
    </row>
    <row r="544" spans="1:15">
      <c r="A544" s="38"/>
      <c r="B544" s="50"/>
      <c r="C544" s="50"/>
      <c r="D544" s="50"/>
      <c r="E544" s="51"/>
      <c r="F544" s="51"/>
      <c r="G544" s="51"/>
      <c r="H544" s="38"/>
      <c r="I544" s="51"/>
      <c r="J544" s="51"/>
      <c r="K544" s="52"/>
      <c r="L544" s="52"/>
      <c r="M544" s="52"/>
      <c r="N544" s="52"/>
      <c r="O544" s="52"/>
    </row>
    <row r="545" spans="1:15">
      <c r="A545" s="38"/>
      <c r="B545" s="50"/>
      <c r="C545" s="50"/>
      <c r="D545" s="50"/>
      <c r="E545" s="51"/>
      <c r="F545" s="51"/>
      <c r="G545" s="51"/>
      <c r="H545" s="38"/>
      <c r="I545" s="51"/>
      <c r="J545" s="51"/>
      <c r="K545" s="52"/>
      <c r="L545" s="52"/>
      <c r="M545" s="52"/>
      <c r="N545" s="52"/>
      <c r="O545" s="52"/>
    </row>
    <row r="546" spans="1:15">
      <c r="A546" s="38"/>
      <c r="B546" s="50"/>
      <c r="C546" s="50"/>
      <c r="D546" s="50"/>
      <c r="E546" s="51"/>
      <c r="F546" s="51"/>
      <c r="G546" s="51"/>
      <c r="H546" s="38"/>
      <c r="I546" s="51"/>
      <c r="J546" s="51"/>
      <c r="K546" s="52"/>
      <c r="L546" s="52"/>
      <c r="M546" s="52"/>
      <c r="N546" s="52"/>
      <c r="O546" s="52"/>
    </row>
    <row r="547" spans="1:15">
      <c r="A547" s="38"/>
      <c r="B547" s="50"/>
      <c r="C547" s="50"/>
      <c r="D547" s="50"/>
      <c r="E547" s="51"/>
      <c r="F547" s="51"/>
      <c r="G547" s="51"/>
      <c r="H547" s="38"/>
      <c r="I547" s="51"/>
      <c r="J547" s="51"/>
      <c r="K547" s="52"/>
      <c r="L547" s="52"/>
      <c r="M547" s="52"/>
      <c r="N547" s="52"/>
      <c r="O547" s="52"/>
    </row>
    <row r="548" spans="1:15">
      <c r="A548" s="38"/>
      <c r="B548" s="50"/>
      <c r="C548" s="50"/>
      <c r="D548" s="50"/>
      <c r="E548" s="51"/>
      <c r="F548" s="51"/>
      <c r="G548" s="51"/>
      <c r="H548" s="38"/>
      <c r="I548" s="51"/>
      <c r="J548" s="51"/>
      <c r="K548" s="52"/>
      <c r="L548" s="52"/>
      <c r="M548" s="52"/>
      <c r="N548" s="52"/>
      <c r="O548" s="52"/>
    </row>
    <row r="549" spans="1:15">
      <c r="A549" s="38"/>
      <c r="B549" s="50"/>
      <c r="C549" s="50"/>
      <c r="D549" s="50"/>
      <c r="E549" s="51"/>
      <c r="F549" s="51"/>
      <c r="G549" s="51"/>
      <c r="H549" s="38"/>
      <c r="I549" s="51"/>
      <c r="J549" s="51"/>
      <c r="K549" s="52"/>
      <c r="L549" s="52"/>
      <c r="M549" s="52"/>
      <c r="N549" s="52"/>
      <c r="O549" s="52"/>
    </row>
    <row r="550" spans="1:15">
      <c r="A550" s="38"/>
      <c r="B550" s="50"/>
      <c r="C550" s="50"/>
      <c r="D550" s="50"/>
      <c r="E550" s="51"/>
      <c r="F550" s="51"/>
      <c r="G550" s="51"/>
      <c r="H550" s="38"/>
      <c r="I550" s="51"/>
      <c r="J550" s="51"/>
      <c r="K550" s="52"/>
      <c r="L550" s="52"/>
      <c r="M550" s="52"/>
      <c r="N550" s="52"/>
      <c r="O550" s="52"/>
    </row>
    <row r="551" spans="1:15">
      <c r="A551" s="38"/>
      <c r="B551" s="50"/>
      <c r="C551" s="50"/>
      <c r="D551" s="50"/>
      <c r="E551" s="51"/>
      <c r="F551" s="51"/>
      <c r="G551" s="51"/>
      <c r="H551" s="38"/>
      <c r="I551" s="51"/>
      <c r="J551" s="51"/>
      <c r="K551" s="52"/>
      <c r="L551" s="52"/>
      <c r="M551" s="52"/>
      <c r="N551" s="52"/>
      <c r="O551" s="52"/>
    </row>
    <row r="552" spans="1:15">
      <c r="A552" s="38"/>
      <c r="B552" s="50"/>
      <c r="C552" s="50"/>
      <c r="D552" s="50"/>
      <c r="E552" s="51"/>
      <c r="F552" s="51"/>
      <c r="G552" s="51"/>
      <c r="H552" s="38"/>
      <c r="I552" s="51"/>
      <c r="J552" s="51"/>
      <c r="K552" s="52"/>
      <c r="L552" s="52"/>
      <c r="M552" s="52"/>
      <c r="N552" s="52"/>
      <c r="O552" s="52"/>
    </row>
    <row r="553" spans="1:15">
      <c r="A553" s="38"/>
      <c r="B553" s="50"/>
      <c r="C553" s="50"/>
      <c r="D553" s="50"/>
      <c r="E553" s="51"/>
      <c r="F553" s="51"/>
      <c r="G553" s="51"/>
      <c r="H553" s="38"/>
      <c r="I553" s="51"/>
      <c r="J553" s="51"/>
      <c r="K553" s="52"/>
      <c r="L553" s="52"/>
      <c r="M553" s="52"/>
      <c r="N553" s="52"/>
      <c r="O553" s="52"/>
    </row>
    <row r="554" spans="1:15">
      <c r="A554" s="38"/>
      <c r="B554" s="50"/>
      <c r="C554" s="50"/>
      <c r="D554" s="50"/>
      <c r="E554" s="51"/>
      <c r="F554" s="51"/>
      <c r="G554" s="51"/>
      <c r="H554" s="38"/>
      <c r="I554" s="51"/>
      <c r="J554" s="51"/>
      <c r="K554" s="52"/>
      <c r="L554" s="52"/>
      <c r="M554" s="52"/>
      <c r="N554" s="52"/>
      <c r="O554" s="52"/>
    </row>
    <row r="555" spans="1:15">
      <c r="A555" s="38"/>
      <c r="B555" s="50"/>
      <c r="C555" s="50"/>
      <c r="D555" s="50"/>
      <c r="E555" s="51"/>
      <c r="F555" s="51"/>
      <c r="G555" s="51"/>
      <c r="H555" s="38"/>
      <c r="I555" s="51"/>
      <c r="J555" s="51"/>
      <c r="K555" s="52"/>
      <c r="L555" s="52"/>
      <c r="M555" s="52"/>
      <c r="N555" s="52"/>
      <c r="O555" s="52"/>
    </row>
    <row r="556" spans="1:15">
      <c r="A556" s="38"/>
      <c r="B556" s="50"/>
      <c r="C556" s="50"/>
      <c r="D556" s="50"/>
      <c r="E556" s="51"/>
      <c r="F556" s="51"/>
      <c r="G556" s="51"/>
      <c r="H556" s="38"/>
      <c r="I556" s="51"/>
      <c r="J556" s="51"/>
      <c r="K556" s="52"/>
      <c r="L556" s="52"/>
      <c r="M556" s="52"/>
      <c r="N556" s="52"/>
      <c r="O556" s="52"/>
    </row>
    <row r="557" spans="1:15">
      <c r="A557" s="38"/>
      <c r="B557" s="50"/>
      <c r="C557" s="50"/>
      <c r="D557" s="50"/>
      <c r="E557" s="51"/>
      <c r="F557" s="51"/>
      <c r="G557" s="51"/>
      <c r="H557" s="38"/>
      <c r="I557" s="51"/>
      <c r="J557" s="51"/>
      <c r="K557" s="52"/>
      <c r="L557" s="52"/>
      <c r="M557" s="52"/>
      <c r="N557" s="52"/>
      <c r="O557" s="52"/>
    </row>
    <row r="558" spans="1:15">
      <c r="A558" s="38"/>
      <c r="B558" s="50"/>
      <c r="C558" s="50"/>
      <c r="D558" s="50"/>
      <c r="E558" s="51"/>
      <c r="F558" s="51"/>
      <c r="G558" s="51"/>
      <c r="H558" s="38"/>
      <c r="I558" s="51"/>
      <c r="J558" s="51"/>
      <c r="K558" s="52"/>
      <c r="L558" s="52"/>
      <c r="M558" s="52"/>
      <c r="N558" s="52"/>
      <c r="O558" s="52"/>
    </row>
    <row r="559" spans="1:15">
      <c r="A559" s="38"/>
      <c r="B559" s="50"/>
      <c r="C559" s="50"/>
      <c r="D559" s="50"/>
      <c r="E559" s="51"/>
      <c r="F559" s="51"/>
      <c r="G559" s="51"/>
      <c r="H559" s="38"/>
      <c r="I559" s="51"/>
      <c r="J559" s="51"/>
      <c r="K559" s="52"/>
      <c r="L559" s="52"/>
      <c r="M559" s="52"/>
      <c r="N559" s="52"/>
      <c r="O559" s="52"/>
    </row>
    <row r="560" spans="1:15">
      <c r="A560" s="38"/>
      <c r="B560" s="50"/>
      <c r="C560" s="50"/>
      <c r="D560" s="50"/>
      <c r="E560" s="51"/>
      <c r="F560" s="51"/>
      <c r="G560" s="51"/>
      <c r="H560" s="38"/>
      <c r="I560" s="51"/>
      <c r="J560" s="51"/>
      <c r="K560" s="52"/>
      <c r="L560" s="52"/>
      <c r="M560" s="52"/>
      <c r="N560" s="52"/>
      <c r="O560" s="52"/>
    </row>
    <row r="561" spans="1:15">
      <c r="A561" s="38"/>
      <c r="B561" s="50"/>
      <c r="C561" s="50"/>
      <c r="D561" s="50"/>
      <c r="E561" s="51"/>
      <c r="F561" s="51"/>
      <c r="G561" s="51"/>
      <c r="H561" s="38"/>
      <c r="I561" s="51"/>
      <c r="J561" s="51"/>
      <c r="K561" s="52"/>
      <c r="L561" s="52"/>
      <c r="M561" s="52"/>
      <c r="N561" s="52"/>
      <c r="O561" s="52"/>
    </row>
    <row r="562" spans="1:15">
      <c r="A562" s="38"/>
      <c r="B562" s="50"/>
      <c r="C562" s="50"/>
      <c r="D562" s="50"/>
      <c r="E562" s="51"/>
      <c r="F562" s="51"/>
      <c r="G562" s="51"/>
      <c r="H562" s="38"/>
      <c r="I562" s="51"/>
      <c r="J562" s="51"/>
      <c r="K562" s="52"/>
      <c r="L562" s="52"/>
      <c r="M562" s="52"/>
      <c r="N562" s="52"/>
      <c r="O562" s="52"/>
    </row>
    <row r="563" spans="1:15">
      <c r="A563" s="38"/>
      <c r="B563" s="50"/>
      <c r="C563" s="50"/>
      <c r="D563" s="50"/>
      <c r="E563" s="51"/>
      <c r="F563" s="51"/>
      <c r="G563" s="51"/>
      <c r="H563" s="38"/>
      <c r="I563" s="51"/>
      <c r="J563" s="51"/>
      <c r="K563" s="52"/>
      <c r="L563" s="52"/>
      <c r="M563" s="52"/>
      <c r="N563" s="52"/>
      <c r="O563" s="52"/>
    </row>
    <row r="564" spans="1:15">
      <c r="A564" s="38"/>
      <c r="B564" s="50"/>
      <c r="C564" s="50"/>
      <c r="D564" s="50"/>
      <c r="E564" s="51"/>
      <c r="F564" s="51"/>
      <c r="G564" s="51"/>
      <c r="H564" s="38"/>
      <c r="I564" s="51"/>
      <c r="J564" s="51"/>
      <c r="K564" s="52"/>
      <c r="L564" s="52"/>
      <c r="M564" s="52"/>
      <c r="N564" s="52"/>
      <c r="O564" s="52"/>
    </row>
    <row r="565" spans="1:15">
      <c r="A565" s="38"/>
      <c r="B565" s="50"/>
      <c r="C565" s="50"/>
      <c r="D565" s="50"/>
      <c r="E565" s="51"/>
      <c r="F565" s="51"/>
      <c r="G565" s="51"/>
      <c r="H565" s="38"/>
      <c r="I565" s="51"/>
      <c r="J565" s="51"/>
      <c r="K565" s="52"/>
      <c r="L565" s="52"/>
      <c r="M565" s="52"/>
      <c r="N565" s="52"/>
      <c r="O565" s="52"/>
    </row>
    <row r="566" spans="1:15">
      <c r="A566" s="38"/>
      <c r="B566" s="50"/>
      <c r="C566" s="50"/>
      <c r="D566" s="50"/>
      <c r="E566" s="51"/>
      <c r="F566" s="51"/>
      <c r="G566" s="51"/>
      <c r="H566" s="38"/>
      <c r="I566" s="51"/>
      <c r="J566" s="51"/>
      <c r="K566" s="52"/>
      <c r="L566" s="52"/>
      <c r="M566" s="52"/>
      <c r="N566" s="52"/>
      <c r="O566" s="52"/>
    </row>
    <row r="567" spans="1:15">
      <c r="A567" s="38"/>
      <c r="B567" s="50"/>
      <c r="C567" s="50"/>
      <c r="D567" s="50"/>
      <c r="E567" s="51"/>
      <c r="F567" s="51"/>
      <c r="G567" s="51"/>
      <c r="H567" s="38"/>
      <c r="I567" s="51"/>
      <c r="J567" s="51"/>
      <c r="K567" s="52"/>
      <c r="L567" s="52"/>
      <c r="M567" s="52"/>
      <c r="N567" s="52"/>
      <c r="O567" s="52"/>
    </row>
    <row r="568" spans="1:15">
      <c r="A568" s="38"/>
      <c r="B568" s="50"/>
      <c r="C568" s="50"/>
      <c r="D568" s="50"/>
      <c r="E568" s="51"/>
      <c r="F568" s="51"/>
      <c r="G568" s="51"/>
      <c r="H568" s="38"/>
      <c r="I568" s="51"/>
      <c r="J568" s="51"/>
      <c r="K568" s="52"/>
      <c r="L568" s="52"/>
      <c r="M568" s="52"/>
      <c r="N568" s="52"/>
      <c r="O568" s="52"/>
    </row>
    <row r="569" spans="1:15">
      <c r="A569" s="38"/>
      <c r="B569" s="50"/>
      <c r="C569" s="50"/>
      <c r="D569" s="50"/>
      <c r="E569" s="51"/>
      <c r="F569" s="51"/>
      <c r="G569" s="51"/>
      <c r="H569" s="38"/>
      <c r="I569" s="51"/>
      <c r="J569" s="51"/>
      <c r="K569" s="52"/>
      <c r="L569" s="52"/>
      <c r="M569" s="52"/>
      <c r="N569" s="52"/>
      <c r="O569" s="52"/>
    </row>
    <row r="570" spans="1:15">
      <c r="A570" s="38"/>
      <c r="B570" s="50"/>
      <c r="C570" s="50"/>
      <c r="D570" s="50"/>
      <c r="E570" s="51"/>
      <c r="F570" s="51"/>
      <c r="G570" s="51"/>
      <c r="H570" s="38"/>
      <c r="I570" s="51"/>
      <c r="J570" s="51"/>
      <c r="K570" s="52"/>
      <c r="L570" s="52"/>
      <c r="M570" s="52"/>
      <c r="N570" s="52"/>
      <c r="O570" s="52"/>
    </row>
    <row r="571" spans="1:15">
      <c r="A571" s="38"/>
      <c r="B571" s="50"/>
      <c r="C571" s="50"/>
      <c r="D571" s="50"/>
      <c r="E571" s="51"/>
      <c r="F571" s="51"/>
      <c r="G571" s="51"/>
      <c r="H571" s="38"/>
      <c r="I571" s="51"/>
      <c r="J571" s="51"/>
      <c r="K571" s="52"/>
      <c r="L571" s="52"/>
      <c r="M571" s="52"/>
      <c r="N571" s="52"/>
      <c r="O571" s="52"/>
    </row>
    <row r="572" spans="1:15">
      <c r="A572" s="38"/>
      <c r="B572" s="50"/>
      <c r="C572" s="50"/>
      <c r="D572" s="50"/>
      <c r="E572" s="51"/>
      <c r="F572" s="51"/>
      <c r="G572" s="51"/>
      <c r="H572" s="38"/>
      <c r="I572" s="51"/>
      <c r="J572" s="51"/>
      <c r="K572" s="52"/>
      <c r="L572" s="52"/>
      <c r="M572" s="52"/>
      <c r="N572" s="52"/>
      <c r="O572" s="52"/>
    </row>
    <row r="573" spans="1:15">
      <c r="A573" s="38"/>
      <c r="B573" s="50"/>
      <c r="C573" s="50"/>
      <c r="D573" s="50"/>
      <c r="E573" s="51"/>
      <c r="F573" s="51"/>
      <c r="G573" s="51"/>
      <c r="H573" s="38"/>
      <c r="I573" s="51"/>
      <c r="J573" s="51"/>
      <c r="K573" s="52"/>
      <c r="L573" s="52"/>
      <c r="M573" s="52"/>
      <c r="N573" s="52"/>
      <c r="O573" s="52"/>
    </row>
    <row r="574" spans="1:15">
      <c r="A574" s="38"/>
      <c r="B574" s="50"/>
      <c r="C574" s="50"/>
      <c r="D574" s="50"/>
      <c r="E574" s="51"/>
      <c r="F574" s="51"/>
      <c r="G574" s="51"/>
      <c r="H574" s="38"/>
      <c r="I574" s="51"/>
      <c r="J574" s="51"/>
      <c r="K574" s="52"/>
      <c r="L574" s="52"/>
      <c r="M574" s="52"/>
      <c r="N574" s="52"/>
      <c r="O574" s="52"/>
    </row>
    <row r="575" spans="1:15">
      <c r="A575" s="38"/>
      <c r="B575" s="50"/>
      <c r="C575" s="50"/>
      <c r="D575" s="50"/>
      <c r="E575" s="51"/>
      <c r="F575" s="51"/>
      <c r="G575" s="51"/>
      <c r="H575" s="38"/>
      <c r="I575" s="51"/>
      <c r="J575" s="51"/>
      <c r="K575" s="52"/>
      <c r="L575" s="52"/>
      <c r="M575" s="52"/>
      <c r="N575" s="52"/>
      <c r="O575" s="52"/>
    </row>
    <row r="576" spans="1:15">
      <c r="A576" s="38"/>
      <c r="B576" s="50"/>
      <c r="C576" s="50"/>
      <c r="D576" s="50"/>
      <c r="E576" s="51"/>
      <c r="F576" s="51"/>
      <c r="G576" s="51"/>
      <c r="H576" s="38"/>
      <c r="I576" s="51"/>
      <c r="J576" s="51"/>
      <c r="K576" s="52"/>
      <c r="L576" s="52"/>
      <c r="M576" s="52"/>
      <c r="N576" s="52"/>
      <c r="O576" s="52"/>
    </row>
    <row r="577" spans="1:15">
      <c r="A577" s="38"/>
      <c r="B577" s="50"/>
      <c r="C577" s="50"/>
      <c r="D577" s="50"/>
      <c r="E577" s="51"/>
      <c r="F577" s="51"/>
      <c r="G577" s="51"/>
      <c r="H577" s="38"/>
      <c r="I577" s="51"/>
      <c r="J577" s="51"/>
      <c r="K577" s="52"/>
      <c r="L577" s="52"/>
      <c r="M577" s="52"/>
      <c r="N577" s="52"/>
      <c r="O577" s="52"/>
    </row>
    <row r="578" spans="1:15">
      <c r="A578" s="38"/>
      <c r="B578" s="50"/>
      <c r="C578" s="50"/>
      <c r="D578" s="50"/>
      <c r="E578" s="51"/>
      <c r="F578" s="51"/>
      <c r="G578" s="51"/>
      <c r="H578" s="38"/>
      <c r="I578" s="51"/>
      <c r="J578" s="51"/>
      <c r="K578" s="52"/>
      <c r="L578" s="52"/>
      <c r="M578" s="52"/>
      <c r="N578" s="52"/>
      <c r="O578" s="52"/>
    </row>
    <row r="579" spans="1:15">
      <c r="A579" s="38"/>
      <c r="B579" s="50"/>
      <c r="C579" s="50"/>
      <c r="D579" s="50"/>
      <c r="E579" s="51"/>
      <c r="F579" s="51"/>
      <c r="G579" s="51"/>
      <c r="H579" s="38"/>
      <c r="I579" s="51"/>
      <c r="J579" s="51"/>
      <c r="K579" s="52"/>
      <c r="L579" s="52"/>
      <c r="M579" s="52"/>
      <c r="N579" s="52"/>
      <c r="O579" s="52"/>
    </row>
    <row r="580" spans="1:15">
      <c r="A580" s="38"/>
      <c r="B580" s="50"/>
      <c r="C580" s="50"/>
      <c r="D580" s="50"/>
      <c r="E580" s="51"/>
      <c r="F580" s="51"/>
      <c r="G580" s="51"/>
      <c r="H580" s="38"/>
      <c r="I580" s="51"/>
      <c r="J580" s="51"/>
      <c r="K580" s="52"/>
      <c r="L580" s="52"/>
      <c r="M580" s="52"/>
      <c r="N580" s="52"/>
      <c r="O580" s="52"/>
    </row>
    <row r="581" spans="1:15">
      <c r="A581" s="38"/>
      <c r="B581" s="50"/>
      <c r="C581" s="50"/>
      <c r="D581" s="50"/>
      <c r="E581" s="51"/>
      <c r="F581" s="51"/>
      <c r="G581" s="51"/>
      <c r="H581" s="38"/>
      <c r="I581" s="51"/>
      <c r="J581" s="51"/>
      <c r="K581" s="52"/>
      <c r="L581" s="52"/>
      <c r="M581" s="52"/>
      <c r="N581" s="52"/>
      <c r="O581" s="52"/>
    </row>
    <row r="582" spans="1:15">
      <c r="A582" s="38"/>
      <c r="B582" s="50"/>
      <c r="C582" s="50"/>
      <c r="D582" s="50"/>
      <c r="E582" s="51"/>
      <c r="F582" s="51"/>
      <c r="G582" s="51"/>
      <c r="H582" s="38"/>
      <c r="I582" s="51"/>
      <c r="J582" s="51"/>
      <c r="K582" s="52"/>
      <c r="L582" s="52"/>
      <c r="M582" s="52"/>
      <c r="N582" s="52"/>
      <c r="O582" s="52"/>
    </row>
    <row r="583" spans="1:15">
      <c r="A583" s="38"/>
      <c r="B583" s="50"/>
      <c r="C583" s="50"/>
      <c r="D583" s="50"/>
      <c r="E583" s="51"/>
      <c r="F583" s="51"/>
      <c r="G583" s="51"/>
      <c r="H583" s="38"/>
      <c r="I583" s="51"/>
      <c r="J583" s="51"/>
      <c r="K583" s="52"/>
      <c r="L583" s="52"/>
      <c r="M583" s="52"/>
      <c r="N583" s="52"/>
      <c r="O583" s="52"/>
    </row>
    <row r="584" spans="1:15">
      <c r="A584" s="38"/>
      <c r="B584" s="50"/>
      <c r="C584" s="50"/>
      <c r="D584" s="50"/>
      <c r="E584" s="51"/>
      <c r="F584" s="51"/>
      <c r="G584" s="51"/>
      <c r="H584" s="38"/>
      <c r="I584" s="51"/>
      <c r="J584" s="51"/>
      <c r="K584" s="52"/>
      <c r="L584" s="52"/>
      <c r="M584" s="52"/>
      <c r="N584" s="52"/>
      <c r="O584" s="52"/>
    </row>
    <row r="585" spans="1:15">
      <c r="A585" s="38"/>
      <c r="B585" s="50"/>
      <c r="C585" s="50"/>
      <c r="D585" s="50"/>
      <c r="E585" s="51"/>
      <c r="F585" s="51"/>
      <c r="G585" s="51"/>
      <c r="H585" s="38"/>
      <c r="I585" s="51"/>
      <c r="J585" s="51"/>
      <c r="K585" s="52"/>
      <c r="L585" s="52"/>
      <c r="M585" s="52"/>
      <c r="N585" s="52"/>
      <c r="O585" s="52"/>
    </row>
    <row r="586" spans="1:15">
      <c r="A586" s="38"/>
      <c r="B586" s="50"/>
      <c r="C586" s="50"/>
      <c r="D586" s="50"/>
      <c r="E586" s="51"/>
      <c r="F586" s="51"/>
      <c r="G586" s="51"/>
      <c r="H586" s="38"/>
      <c r="I586" s="51"/>
      <c r="J586" s="51"/>
      <c r="K586" s="52"/>
      <c r="L586" s="52"/>
      <c r="M586" s="52"/>
      <c r="N586" s="52"/>
      <c r="O586" s="52"/>
    </row>
    <row r="587" spans="1:15">
      <c r="A587" s="38"/>
      <c r="B587" s="50"/>
      <c r="C587" s="50"/>
      <c r="D587" s="50"/>
      <c r="E587" s="51"/>
      <c r="F587" s="51"/>
      <c r="G587" s="51"/>
      <c r="H587" s="38"/>
      <c r="I587" s="51"/>
      <c r="J587" s="51"/>
      <c r="K587" s="52"/>
      <c r="L587" s="52"/>
      <c r="M587" s="52"/>
      <c r="N587" s="52"/>
      <c r="O587" s="52"/>
    </row>
    <row r="588" spans="1:15">
      <c r="A588" s="38"/>
      <c r="B588" s="50"/>
      <c r="C588" s="50"/>
      <c r="D588" s="50"/>
      <c r="E588" s="51"/>
      <c r="F588" s="51"/>
      <c r="G588" s="51"/>
      <c r="H588" s="38"/>
      <c r="I588" s="51"/>
      <c r="J588" s="51"/>
      <c r="K588" s="52"/>
      <c r="L588" s="52"/>
      <c r="M588" s="52"/>
      <c r="N588" s="52"/>
      <c r="O588" s="52"/>
    </row>
    <row r="589" spans="1:15">
      <c r="A589" s="38"/>
      <c r="B589" s="50"/>
      <c r="C589" s="50"/>
      <c r="D589" s="50"/>
      <c r="E589" s="51"/>
      <c r="F589" s="51"/>
      <c r="G589" s="51"/>
      <c r="H589" s="38"/>
      <c r="I589" s="51"/>
      <c r="J589" s="51"/>
      <c r="K589" s="52"/>
      <c r="L589" s="52"/>
      <c r="M589" s="52"/>
      <c r="N589" s="52"/>
      <c r="O589" s="52"/>
    </row>
    <row r="590" spans="1:15">
      <c r="A590" s="38"/>
      <c r="B590" s="50"/>
      <c r="C590" s="50"/>
      <c r="D590" s="50"/>
      <c r="E590" s="51"/>
      <c r="F590" s="51"/>
      <c r="G590" s="51"/>
      <c r="H590" s="38"/>
      <c r="I590" s="51"/>
      <c r="J590" s="51"/>
      <c r="K590" s="52"/>
      <c r="L590" s="52"/>
      <c r="M590" s="52"/>
      <c r="N590" s="52"/>
      <c r="O590" s="52"/>
    </row>
    <row r="591" spans="1:15">
      <c r="A591" s="38"/>
      <c r="B591" s="50"/>
      <c r="C591" s="50"/>
      <c r="D591" s="50"/>
      <c r="E591" s="51"/>
      <c r="F591" s="51"/>
      <c r="G591" s="51"/>
      <c r="H591" s="38"/>
      <c r="I591" s="51"/>
      <c r="J591" s="51"/>
      <c r="K591" s="52"/>
      <c r="L591" s="52"/>
      <c r="M591" s="52"/>
      <c r="N591" s="52"/>
      <c r="O591" s="52"/>
    </row>
    <row r="592" spans="1:15">
      <c r="A592" s="38"/>
      <c r="B592" s="50"/>
      <c r="C592" s="50"/>
      <c r="D592" s="50"/>
      <c r="E592" s="51"/>
      <c r="F592" s="51"/>
      <c r="G592" s="51"/>
      <c r="H592" s="38"/>
      <c r="I592" s="51"/>
      <c r="J592" s="51"/>
      <c r="K592" s="52"/>
      <c r="L592" s="52"/>
      <c r="M592" s="52"/>
      <c r="N592" s="52"/>
      <c r="O592" s="52"/>
    </row>
    <row r="593" spans="1:15">
      <c r="A593" s="38"/>
      <c r="B593" s="50"/>
      <c r="C593" s="50"/>
      <c r="D593" s="50"/>
      <c r="E593" s="51"/>
      <c r="F593" s="51"/>
      <c r="G593" s="51"/>
      <c r="H593" s="38"/>
      <c r="I593" s="51"/>
      <c r="J593" s="51"/>
      <c r="K593" s="52"/>
      <c r="L593" s="52"/>
      <c r="M593" s="52"/>
      <c r="N593" s="52"/>
      <c r="O593" s="52"/>
    </row>
    <row r="594" spans="1:15">
      <c r="A594" s="38"/>
      <c r="B594" s="50"/>
      <c r="C594" s="50"/>
      <c r="D594" s="50"/>
      <c r="E594" s="51"/>
      <c r="F594" s="51"/>
      <c r="G594" s="51"/>
      <c r="H594" s="38"/>
      <c r="I594" s="51"/>
      <c r="J594" s="51"/>
      <c r="K594" s="52"/>
      <c r="L594" s="52"/>
      <c r="M594" s="52"/>
      <c r="N594" s="52"/>
      <c r="O594" s="52"/>
    </row>
  </sheetData>
  <customSheetViews>
    <customSheetView guid="{FA833650-9147-48FF-9246-B3943D91CD8D}" scale="70" showPageBreaks="1" printArea="1" hiddenColumns="1" view="pageBreakPreview">
      <pane ySplit="7" topLeftCell="A370" activePane="bottomLeft" state="frozen"/>
      <selection pane="bottomLeft" activeCell="A3" sqref="A3:O382"/>
      <rowBreaks count="2" manualBreakCount="2">
        <brk id="159" max="13" man="1"/>
        <brk id="280" max="13" man="1"/>
      </rowBreaks>
      <pageMargins left="0.25" right="0.25" top="0.75" bottom="0.75" header="0.3" footer="0.3"/>
      <pageSetup paperSize="9" scale="46" orientation="portrait" r:id="rId1"/>
    </customSheetView>
  </customSheetViews>
  <mergeCells count="629">
    <mergeCell ref="A201:A202"/>
    <mergeCell ref="C201:C202"/>
    <mergeCell ref="D201:D202"/>
    <mergeCell ref="E201:E202"/>
    <mergeCell ref="J201:J202"/>
    <mergeCell ref="A197:A198"/>
    <mergeCell ref="C197:C198"/>
    <mergeCell ref="D197:D198"/>
    <mergeCell ref="E197:E198"/>
    <mergeCell ref="J197:J198"/>
    <mergeCell ref="A199:A200"/>
    <mergeCell ref="C199:C200"/>
    <mergeCell ref="D199:D200"/>
    <mergeCell ref="E199:E200"/>
    <mergeCell ref="J199:J200"/>
    <mergeCell ref="A193:A194"/>
    <mergeCell ref="C193:C194"/>
    <mergeCell ref="D193:D194"/>
    <mergeCell ref="E193:E194"/>
    <mergeCell ref="J193:J194"/>
    <mergeCell ref="A195:A196"/>
    <mergeCell ref="C195:C196"/>
    <mergeCell ref="D195:D196"/>
    <mergeCell ref="E195:E196"/>
    <mergeCell ref="J195:J196"/>
    <mergeCell ref="A189:A190"/>
    <mergeCell ref="C189:C190"/>
    <mergeCell ref="D189:D190"/>
    <mergeCell ref="E189:E190"/>
    <mergeCell ref="J189:J190"/>
    <mergeCell ref="A191:A192"/>
    <mergeCell ref="C191:C192"/>
    <mergeCell ref="D191:D192"/>
    <mergeCell ref="E191:E192"/>
    <mergeCell ref="J191:J192"/>
    <mergeCell ref="A185:A186"/>
    <mergeCell ref="C185:C186"/>
    <mergeCell ref="D185:D186"/>
    <mergeCell ref="E185:E186"/>
    <mergeCell ref="J185:J186"/>
    <mergeCell ref="A135:A136"/>
    <mergeCell ref="J135:J136"/>
    <mergeCell ref="A137:A138"/>
    <mergeCell ref="J137:J138"/>
    <mergeCell ref="A139:A140"/>
    <mergeCell ref="J139:J140"/>
    <mergeCell ref="A141:A142"/>
    <mergeCell ref="J141:J142"/>
    <mergeCell ref="A143:A144"/>
    <mergeCell ref="J143:J144"/>
    <mergeCell ref="A181:A182"/>
    <mergeCell ref="C181:C182"/>
    <mergeCell ref="D181:D182"/>
    <mergeCell ref="E181:E182"/>
    <mergeCell ref="J181:J182"/>
    <mergeCell ref="A183:A184"/>
    <mergeCell ref="C183:C184"/>
    <mergeCell ref="D183:D184"/>
    <mergeCell ref="E183:E184"/>
    <mergeCell ref="J183:J184"/>
    <mergeCell ref="A177:A178"/>
    <mergeCell ref="C177:C178"/>
    <mergeCell ref="D177:D178"/>
    <mergeCell ref="E177:E178"/>
    <mergeCell ref="J177:J178"/>
    <mergeCell ref="A179:A180"/>
    <mergeCell ref="C179:C180"/>
    <mergeCell ref="D179:D180"/>
    <mergeCell ref="E179:E180"/>
    <mergeCell ref="J179:J180"/>
    <mergeCell ref="J171:J172"/>
    <mergeCell ref="A173:A174"/>
    <mergeCell ref="C173:C174"/>
    <mergeCell ref="D173:D174"/>
    <mergeCell ref="E173:E174"/>
    <mergeCell ref="J173:J174"/>
    <mergeCell ref="A175:A176"/>
    <mergeCell ref="C175:C176"/>
    <mergeCell ref="D175:D176"/>
    <mergeCell ref="E175:E176"/>
    <mergeCell ref="J175:J176"/>
    <mergeCell ref="J129:J130"/>
    <mergeCell ref="J131:J132"/>
    <mergeCell ref="A147:A148"/>
    <mergeCell ref="A131:A132"/>
    <mergeCell ref="A169:A170"/>
    <mergeCell ref="C169:C170"/>
    <mergeCell ref="D169:D170"/>
    <mergeCell ref="E169:E170"/>
    <mergeCell ref="J169:J170"/>
    <mergeCell ref="A153:A154"/>
    <mergeCell ref="C153:C154"/>
    <mergeCell ref="D153:D154"/>
    <mergeCell ref="E153:E154"/>
    <mergeCell ref="J153:J154"/>
    <mergeCell ref="A151:A152"/>
    <mergeCell ref="C151:C152"/>
    <mergeCell ref="D151:D152"/>
    <mergeCell ref="E151:E152"/>
    <mergeCell ref="J151:J152"/>
    <mergeCell ref="A133:A134"/>
    <mergeCell ref="A146:O146"/>
    <mergeCell ref="J157:J158"/>
    <mergeCell ref="A155:A156"/>
    <mergeCell ref="C155:C156"/>
    <mergeCell ref="J105:J106"/>
    <mergeCell ref="A107:A108"/>
    <mergeCell ref="C107:C108"/>
    <mergeCell ref="D107:D108"/>
    <mergeCell ref="E107:E108"/>
    <mergeCell ref="J107:J108"/>
    <mergeCell ref="A109:A110"/>
    <mergeCell ref="C109:C110"/>
    <mergeCell ref="D109:D110"/>
    <mergeCell ref="E109:E110"/>
    <mergeCell ref="J109:J110"/>
    <mergeCell ref="B331:D331"/>
    <mergeCell ref="E321:G321"/>
    <mergeCell ref="E322:G322"/>
    <mergeCell ref="E323:G323"/>
    <mergeCell ref="B316:D316"/>
    <mergeCell ref="B312:D312"/>
    <mergeCell ref="B310:D310"/>
    <mergeCell ref="B308:E308"/>
    <mergeCell ref="A309:M309"/>
    <mergeCell ref="J97:J98"/>
    <mergeCell ref="C95:C96"/>
    <mergeCell ref="C147:C148"/>
    <mergeCell ref="D147:D148"/>
    <mergeCell ref="J149:J150"/>
    <mergeCell ref="C149:C150"/>
    <mergeCell ref="D149:D150"/>
    <mergeCell ref="E149:E150"/>
    <mergeCell ref="A124:O124"/>
    <mergeCell ref="E147:E148"/>
    <mergeCell ref="A101:A102"/>
    <mergeCell ref="C101:C102"/>
    <mergeCell ref="D101:D102"/>
    <mergeCell ref="E101:E102"/>
    <mergeCell ref="J101:J102"/>
    <mergeCell ref="A103:A104"/>
    <mergeCell ref="C103:C104"/>
    <mergeCell ref="D103:D104"/>
    <mergeCell ref="E103:E104"/>
    <mergeCell ref="J103:J104"/>
    <mergeCell ref="A105:A106"/>
    <mergeCell ref="C105:C106"/>
    <mergeCell ref="D105:D106"/>
    <mergeCell ref="E105:E106"/>
    <mergeCell ref="A209:A210"/>
    <mergeCell ref="A221:A222"/>
    <mergeCell ref="E233:E234"/>
    <mergeCell ref="A233:A234"/>
    <mergeCell ref="A157:A158"/>
    <mergeCell ref="C157:C158"/>
    <mergeCell ref="D157:D158"/>
    <mergeCell ref="E157:E158"/>
    <mergeCell ref="A205:A206"/>
    <mergeCell ref="D207:D208"/>
    <mergeCell ref="C215:C216"/>
    <mergeCell ref="D215:D216"/>
    <mergeCell ref="D211:D212"/>
    <mergeCell ref="A215:A216"/>
    <mergeCell ref="A211:A212"/>
    <mergeCell ref="D221:D222"/>
    <mergeCell ref="A188:O188"/>
    <mergeCell ref="J231:J232"/>
    <mergeCell ref="D231:D232"/>
    <mergeCell ref="C211:C212"/>
    <mergeCell ref="D209:D210"/>
    <mergeCell ref="A167:A168"/>
    <mergeCell ref="C167:C168"/>
    <mergeCell ref="E171:E172"/>
    <mergeCell ref="B377:D377"/>
    <mergeCell ref="B378:D378"/>
    <mergeCell ref="B381:D381"/>
    <mergeCell ref="B353:D353"/>
    <mergeCell ref="B380:D380"/>
    <mergeCell ref="B382:D382"/>
    <mergeCell ref="B383:D383"/>
    <mergeCell ref="B384:D384"/>
    <mergeCell ref="B386:D386"/>
    <mergeCell ref="B371:D371"/>
    <mergeCell ref="B367:D367"/>
    <mergeCell ref="B368:D368"/>
    <mergeCell ref="B369:D369"/>
    <mergeCell ref="B370:D370"/>
    <mergeCell ref="B372:D372"/>
    <mergeCell ref="B374:D374"/>
    <mergeCell ref="B375:D375"/>
    <mergeCell ref="B373:D373"/>
    <mergeCell ref="B364:D364"/>
    <mergeCell ref="B365:D365"/>
    <mergeCell ref="B355:D355"/>
    <mergeCell ref="B356:D356"/>
    <mergeCell ref="B400:D400"/>
    <mergeCell ref="B392:D392"/>
    <mergeCell ref="B393:D393"/>
    <mergeCell ref="B394:D394"/>
    <mergeCell ref="B396:D396"/>
    <mergeCell ref="B397:D397"/>
    <mergeCell ref="B398:D398"/>
    <mergeCell ref="B399:D399"/>
    <mergeCell ref="B379:D379"/>
    <mergeCell ref="B387:D387"/>
    <mergeCell ref="B388:D388"/>
    <mergeCell ref="B389:D389"/>
    <mergeCell ref="B391:D391"/>
    <mergeCell ref="B362:D362"/>
    <mergeCell ref="B363:D363"/>
    <mergeCell ref="B341:D341"/>
    <mergeCell ref="B323:D323"/>
    <mergeCell ref="B324:D324"/>
    <mergeCell ref="B317:D317"/>
    <mergeCell ref="B319:D319"/>
    <mergeCell ref="B318:D318"/>
    <mergeCell ref="B321:D321"/>
    <mergeCell ref="B325:D325"/>
    <mergeCell ref="B326:D326"/>
    <mergeCell ref="B320:D320"/>
    <mergeCell ref="B358:D358"/>
    <mergeCell ref="B327:D327"/>
    <mergeCell ref="B322:D322"/>
    <mergeCell ref="B347:D347"/>
    <mergeCell ref="B348:D348"/>
    <mergeCell ref="B349:D349"/>
    <mergeCell ref="B350:D350"/>
    <mergeCell ref="B342:D342"/>
    <mergeCell ref="B357:D357"/>
    <mergeCell ref="B352:D352"/>
    <mergeCell ref="B354:D354"/>
    <mergeCell ref="B329:D329"/>
    <mergeCell ref="A217:K217"/>
    <mergeCell ref="E215:E216"/>
    <mergeCell ref="A218:O218"/>
    <mergeCell ref="J221:J222"/>
    <mergeCell ref="C221:C222"/>
    <mergeCell ref="D235:D236"/>
    <mergeCell ref="A219:A220"/>
    <mergeCell ref="A231:A232"/>
    <mergeCell ref="B351:D351"/>
    <mergeCell ref="C219:C220"/>
    <mergeCell ref="E235:E236"/>
    <mergeCell ref="C235:C236"/>
    <mergeCell ref="B328:D328"/>
    <mergeCell ref="B332:D332"/>
    <mergeCell ref="B339:D339"/>
    <mergeCell ref="B340:D340"/>
    <mergeCell ref="B344:D344"/>
    <mergeCell ref="B333:D333"/>
    <mergeCell ref="B334:D334"/>
    <mergeCell ref="B335:D335"/>
    <mergeCell ref="B336:D336"/>
    <mergeCell ref="B337:D337"/>
    <mergeCell ref="B338:D338"/>
    <mergeCell ref="B330:D330"/>
    <mergeCell ref="J93:J94"/>
    <mergeCell ref="A95:A96"/>
    <mergeCell ref="B313:D313"/>
    <mergeCell ref="E320:G320"/>
    <mergeCell ref="A235:A236"/>
    <mergeCell ref="A291:O291"/>
    <mergeCell ref="A274:M274"/>
    <mergeCell ref="A251:M251"/>
    <mergeCell ref="E91:E92"/>
    <mergeCell ref="J91:J92"/>
    <mergeCell ref="A93:A94"/>
    <mergeCell ref="C93:C94"/>
    <mergeCell ref="D93:D94"/>
    <mergeCell ref="E93:E94"/>
    <mergeCell ref="J147:J148"/>
    <mergeCell ref="A149:A150"/>
    <mergeCell ref="A99:A100"/>
    <mergeCell ref="J125:J126"/>
    <mergeCell ref="J127:J128"/>
    <mergeCell ref="D99:D100"/>
    <mergeCell ref="E99:E100"/>
    <mergeCell ref="E97:E98"/>
    <mergeCell ref="J133:J134"/>
    <mergeCell ref="A125:A126"/>
    <mergeCell ref="J203:J204"/>
    <mergeCell ref="A229:A230"/>
    <mergeCell ref="C229:C230"/>
    <mergeCell ref="A223:A224"/>
    <mergeCell ref="C223:C224"/>
    <mergeCell ref="D223:D224"/>
    <mergeCell ref="E223:E224"/>
    <mergeCell ref="A203:A204"/>
    <mergeCell ref="D97:D98"/>
    <mergeCell ref="A112:O112"/>
    <mergeCell ref="E205:E206"/>
    <mergeCell ref="A97:A98"/>
    <mergeCell ref="J205:J206"/>
    <mergeCell ref="J99:J100"/>
    <mergeCell ref="C97:C98"/>
    <mergeCell ref="C203:C204"/>
    <mergeCell ref="C99:C100"/>
    <mergeCell ref="C205:C206"/>
    <mergeCell ref="D205:D206"/>
    <mergeCell ref="A127:A128"/>
    <mergeCell ref="A129:A130"/>
    <mergeCell ref="A213:A214"/>
    <mergeCell ref="E227:E228"/>
    <mergeCell ref="D227:D228"/>
    <mergeCell ref="C91:C92"/>
    <mergeCell ref="D91:D92"/>
    <mergeCell ref="C5:D5"/>
    <mergeCell ref="A5:A6"/>
    <mergeCell ref="N5:N6"/>
    <mergeCell ref="A64:O64"/>
    <mergeCell ref="A71:O71"/>
    <mergeCell ref="A49:K49"/>
    <mergeCell ref="H5:H6"/>
    <mergeCell ref="B5:B6"/>
    <mergeCell ref="A33:K33"/>
    <mergeCell ref="A12:K12"/>
    <mergeCell ref="A13:O13"/>
    <mergeCell ref="A25:K25"/>
    <mergeCell ref="A26:O26"/>
    <mergeCell ref="A41:K41"/>
    <mergeCell ref="A42:O42"/>
    <mergeCell ref="A56:K56"/>
    <mergeCell ref="A57:O57"/>
    <mergeCell ref="A89:O89"/>
    <mergeCell ref="A91:A92"/>
    <mergeCell ref="D95:D96"/>
    <mergeCell ref="E95:E96"/>
    <mergeCell ref="J95:J96"/>
    <mergeCell ref="A90:O90"/>
    <mergeCell ref="K2:N2"/>
    <mergeCell ref="J3:K3"/>
    <mergeCell ref="M3:N3"/>
    <mergeCell ref="A50:O50"/>
    <mergeCell ref="A63:K63"/>
    <mergeCell ref="M5:M6"/>
    <mergeCell ref="A34:O34"/>
    <mergeCell ref="A7:K7"/>
    <mergeCell ref="E5:E6"/>
    <mergeCell ref="A17:K17"/>
    <mergeCell ref="A18:O18"/>
    <mergeCell ref="I5:I6"/>
    <mergeCell ref="A8:O8"/>
    <mergeCell ref="L5:L6"/>
    <mergeCell ref="G5:G6"/>
    <mergeCell ref="F5:F6"/>
    <mergeCell ref="A72:O72"/>
    <mergeCell ref="K5:K6"/>
    <mergeCell ref="O5:O6"/>
    <mergeCell ref="J5:J6"/>
    <mergeCell ref="E203:E204"/>
    <mergeCell ref="C213:C214"/>
    <mergeCell ref="J213:J214"/>
    <mergeCell ref="E211:E212"/>
    <mergeCell ref="C209:C210"/>
    <mergeCell ref="D203:D204"/>
    <mergeCell ref="A161:A162"/>
    <mergeCell ref="C161:C162"/>
    <mergeCell ref="D161:D162"/>
    <mergeCell ref="E161:E162"/>
    <mergeCell ref="J161:J162"/>
    <mergeCell ref="A165:A166"/>
    <mergeCell ref="C165:C166"/>
    <mergeCell ref="D165:D166"/>
    <mergeCell ref="J211:J212"/>
    <mergeCell ref="C207:C208"/>
    <mergeCell ref="J207:J208"/>
    <mergeCell ref="D167:D168"/>
    <mergeCell ref="E167:E168"/>
    <mergeCell ref="J167:J168"/>
    <mergeCell ref="A171:A172"/>
    <mergeCell ref="C171:C172"/>
    <mergeCell ref="D171:D172"/>
    <mergeCell ref="E213:E214"/>
    <mergeCell ref="B343:D343"/>
    <mergeCell ref="B345:D345"/>
    <mergeCell ref="D213:D214"/>
    <mergeCell ref="B401:D401"/>
    <mergeCell ref="B402:D402"/>
    <mergeCell ref="A237:O237"/>
    <mergeCell ref="B359:D359"/>
    <mergeCell ref="B360:D360"/>
    <mergeCell ref="B361:D361"/>
    <mergeCell ref="B346:D346"/>
    <mergeCell ref="E221:E222"/>
    <mergeCell ref="J215:J216"/>
    <mergeCell ref="E231:E232"/>
    <mergeCell ref="J229:J230"/>
    <mergeCell ref="J223:J224"/>
    <mergeCell ref="J227:J228"/>
    <mergeCell ref="D219:D220"/>
    <mergeCell ref="D229:D230"/>
    <mergeCell ref="E229:E230"/>
    <mergeCell ref="J219:J220"/>
    <mergeCell ref="B314:D314"/>
    <mergeCell ref="B315:D315"/>
    <mergeCell ref="E317:G317"/>
    <mergeCell ref="E318:G318"/>
    <mergeCell ref="B403:D403"/>
    <mergeCell ref="B404:D404"/>
    <mergeCell ref="B405:D405"/>
    <mergeCell ref="B406:D406"/>
    <mergeCell ref="B417:O417"/>
    <mergeCell ref="B418:O418"/>
    <mergeCell ref="B413:O413"/>
    <mergeCell ref="B407:D407"/>
    <mergeCell ref="B408:D408"/>
    <mergeCell ref="B409:D409"/>
    <mergeCell ref="B414:O414"/>
    <mergeCell ref="B415:O415"/>
    <mergeCell ref="A411:I411"/>
    <mergeCell ref="B412:D412"/>
    <mergeCell ref="A410:O410"/>
    <mergeCell ref="B416:O416"/>
    <mergeCell ref="M408:N408"/>
    <mergeCell ref="M409:N409"/>
    <mergeCell ref="E405:G405"/>
    <mergeCell ref="E406:G406"/>
    <mergeCell ref="E407:G407"/>
    <mergeCell ref="M405:N405"/>
    <mergeCell ref="M406:N406"/>
    <mergeCell ref="M407:N407"/>
    <mergeCell ref="D155:D156"/>
    <mergeCell ref="E155:E156"/>
    <mergeCell ref="J155:J156"/>
    <mergeCell ref="D159:D160"/>
    <mergeCell ref="E159:E160"/>
    <mergeCell ref="J159:J160"/>
    <mergeCell ref="E165:E166"/>
    <mergeCell ref="J165:J166"/>
    <mergeCell ref="A163:A164"/>
    <mergeCell ref="C163:C164"/>
    <mergeCell ref="D163:D164"/>
    <mergeCell ref="E163:E164"/>
    <mergeCell ref="J163:J164"/>
    <mergeCell ref="A159:A160"/>
    <mergeCell ref="C159:C160"/>
    <mergeCell ref="J209:J210"/>
    <mergeCell ref="E209:E210"/>
    <mergeCell ref="E207:E208"/>
    <mergeCell ref="E310:G310"/>
    <mergeCell ref="E312:G312"/>
    <mergeCell ref="E313:G313"/>
    <mergeCell ref="E314:G314"/>
    <mergeCell ref="E315:G315"/>
    <mergeCell ref="E316:G316"/>
    <mergeCell ref="A238:O238"/>
    <mergeCell ref="A207:A208"/>
    <mergeCell ref="J235:J236"/>
    <mergeCell ref="D233:D234"/>
    <mergeCell ref="C233:C234"/>
    <mergeCell ref="C231:C232"/>
    <mergeCell ref="J233:J234"/>
    <mergeCell ref="C227:C228"/>
    <mergeCell ref="A225:A226"/>
    <mergeCell ref="C225:C226"/>
    <mergeCell ref="D225:D226"/>
    <mergeCell ref="E225:E226"/>
    <mergeCell ref="J225:J226"/>
    <mergeCell ref="E219:E220"/>
    <mergeCell ref="A227:A228"/>
    <mergeCell ref="E341:G341"/>
    <mergeCell ref="E342:G342"/>
    <mergeCell ref="E343:G343"/>
    <mergeCell ref="E344:G344"/>
    <mergeCell ref="E345:G345"/>
    <mergeCell ref="E346:G346"/>
    <mergeCell ref="E347:G347"/>
    <mergeCell ref="E319:G319"/>
    <mergeCell ref="E324:G324"/>
    <mergeCell ref="E325:G325"/>
    <mergeCell ref="E326:G326"/>
    <mergeCell ref="E327:G327"/>
    <mergeCell ref="E328:G328"/>
    <mergeCell ref="E329:G329"/>
    <mergeCell ref="E330:G330"/>
    <mergeCell ref="E331:G331"/>
    <mergeCell ref="M330:N330"/>
    <mergeCell ref="M331:N331"/>
    <mergeCell ref="M332:N332"/>
    <mergeCell ref="E333:G333"/>
    <mergeCell ref="E334:G334"/>
    <mergeCell ref="E335:G335"/>
    <mergeCell ref="M350:N350"/>
    <mergeCell ref="M348:N348"/>
    <mergeCell ref="M345:N345"/>
    <mergeCell ref="M346:N346"/>
    <mergeCell ref="M343:N343"/>
    <mergeCell ref="M344:N344"/>
    <mergeCell ref="M341:N341"/>
    <mergeCell ref="M342:N342"/>
    <mergeCell ref="M339:N339"/>
    <mergeCell ref="M340:N340"/>
    <mergeCell ref="E350:G350"/>
    <mergeCell ref="M333:N333"/>
    <mergeCell ref="M334:N334"/>
    <mergeCell ref="M335:N335"/>
    <mergeCell ref="E332:G332"/>
    <mergeCell ref="M347:N347"/>
    <mergeCell ref="E339:G339"/>
    <mergeCell ref="E340:G340"/>
    <mergeCell ref="E355:G355"/>
    <mergeCell ref="E356:G356"/>
    <mergeCell ref="M355:N355"/>
    <mergeCell ref="M356:N356"/>
    <mergeCell ref="E353:G353"/>
    <mergeCell ref="E354:G354"/>
    <mergeCell ref="M353:N353"/>
    <mergeCell ref="M354:N354"/>
    <mergeCell ref="E351:G351"/>
    <mergeCell ref="E352:G352"/>
    <mergeCell ref="M351:N351"/>
    <mergeCell ref="M352:N352"/>
    <mergeCell ref="E361:G361"/>
    <mergeCell ref="E362:G362"/>
    <mergeCell ref="M361:N361"/>
    <mergeCell ref="M362:N362"/>
    <mergeCell ref="E359:G359"/>
    <mergeCell ref="E360:G360"/>
    <mergeCell ref="M359:N359"/>
    <mergeCell ref="M360:N360"/>
    <mergeCell ref="E357:G357"/>
    <mergeCell ref="E358:G358"/>
    <mergeCell ref="M357:N357"/>
    <mergeCell ref="M358:N358"/>
    <mergeCell ref="E367:G367"/>
    <mergeCell ref="E368:G368"/>
    <mergeCell ref="E369:G369"/>
    <mergeCell ref="M367:N367"/>
    <mergeCell ref="M368:N368"/>
    <mergeCell ref="M369:N369"/>
    <mergeCell ref="E365:G365"/>
    <mergeCell ref="M365:N365"/>
    <mergeCell ref="E363:G363"/>
    <mergeCell ref="E364:G364"/>
    <mergeCell ref="M363:N363"/>
    <mergeCell ref="M364:N364"/>
    <mergeCell ref="E377:G377"/>
    <mergeCell ref="M377:N377"/>
    <mergeCell ref="E373:G373"/>
    <mergeCell ref="E374:G374"/>
    <mergeCell ref="E375:G375"/>
    <mergeCell ref="M373:N373"/>
    <mergeCell ref="M374:N374"/>
    <mergeCell ref="M375:N375"/>
    <mergeCell ref="E370:G370"/>
    <mergeCell ref="E371:G371"/>
    <mergeCell ref="E372:G372"/>
    <mergeCell ref="M370:N370"/>
    <mergeCell ref="M371:N371"/>
    <mergeCell ref="M372:N372"/>
    <mergeCell ref="E380:G380"/>
    <mergeCell ref="E381:G381"/>
    <mergeCell ref="E382:G382"/>
    <mergeCell ref="M380:N380"/>
    <mergeCell ref="M381:N381"/>
    <mergeCell ref="M382:N382"/>
    <mergeCell ref="E378:G378"/>
    <mergeCell ref="E379:G379"/>
    <mergeCell ref="M378:N378"/>
    <mergeCell ref="M379:N379"/>
    <mergeCell ref="M391:N391"/>
    <mergeCell ref="E386:G386"/>
    <mergeCell ref="E387:G387"/>
    <mergeCell ref="E388:G388"/>
    <mergeCell ref="M386:N386"/>
    <mergeCell ref="M387:N387"/>
    <mergeCell ref="M388:N388"/>
    <mergeCell ref="E383:G383"/>
    <mergeCell ref="E384:G384"/>
    <mergeCell ref="M383:N383"/>
    <mergeCell ref="M384:N384"/>
    <mergeCell ref="E402:G402"/>
    <mergeCell ref="E403:G403"/>
    <mergeCell ref="E404:G404"/>
    <mergeCell ref="M402:N402"/>
    <mergeCell ref="M403:N403"/>
    <mergeCell ref="M404:N404"/>
    <mergeCell ref="E400:G400"/>
    <mergeCell ref="E401:G401"/>
    <mergeCell ref="M400:N400"/>
    <mergeCell ref="M401:N401"/>
    <mergeCell ref="E399:G399"/>
    <mergeCell ref="M398:N398"/>
    <mergeCell ref="M399:N399"/>
    <mergeCell ref="E395:G395"/>
    <mergeCell ref="E396:G396"/>
    <mergeCell ref="E397:G397"/>
    <mergeCell ref="E338:G338"/>
    <mergeCell ref="M336:N336"/>
    <mergeCell ref="M337:N337"/>
    <mergeCell ref="M338:N338"/>
    <mergeCell ref="E348:G348"/>
    <mergeCell ref="E349:G349"/>
    <mergeCell ref="M349:N349"/>
    <mergeCell ref="M396:N396"/>
    <mergeCell ref="M397:N397"/>
    <mergeCell ref="E392:G392"/>
    <mergeCell ref="E393:G393"/>
    <mergeCell ref="E394:G394"/>
    <mergeCell ref="M392:N392"/>
    <mergeCell ref="M393:N393"/>
    <mergeCell ref="M394:N394"/>
    <mergeCell ref="E389:G389"/>
    <mergeCell ref="E391:G391"/>
    <mergeCell ref="M389:N389"/>
    <mergeCell ref="E408:G408"/>
    <mergeCell ref="E409:G409"/>
    <mergeCell ref="M310:N310"/>
    <mergeCell ref="M312:N312"/>
    <mergeCell ref="M313:N313"/>
    <mergeCell ref="M314:N314"/>
    <mergeCell ref="M315:N315"/>
    <mergeCell ref="M316:N316"/>
    <mergeCell ref="M317:N317"/>
    <mergeCell ref="M318:N318"/>
    <mergeCell ref="M319:N319"/>
    <mergeCell ref="M320:N320"/>
    <mergeCell ref="M321:N321"/>
    <mergeCell ref="M322:N322"/>
    <mergeCell ref="M323:N323"/>
    <mergeCell ref="M324:N324"/>
    <mergeCell ref="M325:N325"/>
    <mergeCell ref="M326:N326"/>
    <mergeCell ref="M327:N327"/>
    <mergeCell ref="M328:N328"/>
    <mergeCell ref="M329:N329"/>
    <mergeCell ref="E336:G336"/>
    <mergeCell ref="E337:G337"/>
    <mergeCell ref="E398:G398"/>
  </mergeCells>
  <conditionalFormatting sqref="A410">
    <cfRule type="duplicateValues" dxfId="13" priority="46" stopIfTrue="1"/>
  </conditionalFormatting>
  <conditionalFormatting sqref="A345">
    <cfRule type="duplicateValues" dxfId="12" priority="25" stopIfTrue="1"/>
  </conditionalFormatting>
  <conditionalFormatting sqref="A346:A365 A326:A344">
    <cfRule type="duplicateValues" dxfId="11" priority="26" stopIfTrue="1"/>
  </conditionalFormatting>
  <conditionalFormatting sqref="A368:A375">
    <cfRule type="duplicateValues" dxfId="10" priority="24" stopIfTrue="1"/>
  </conditionalFormatting>
  <conditionalFormatting sqref="A367">
    <cfRule type="duplicateValues" dxfId="9" priority="23" stopIfTrue="1"/>
  </conditionalFormatting>
  <conditionalFormatting sqref="A377:A384 A386:A389">
    <cfRule type="duplicateValues" dxfId="8" priority="27" stopIfTrue="1"/>
  </conditionalFormatting>
  <conditionalFormatting sqref="A391:A394">
    <cfRule type="duplicateValues" dxfId="7" priority="22" stopIfTrue="1"/>
  </conditionalFormatting>
  <conditionalFormatting sqref="A408">
    <cfRule type="duplicateValues" dxfId="6" priority="20" stopIfTrue="1"/>
  </conditionalFormatting>
  <conditionalFormatting sqref="A409">
    <cfRule type="duplicateValues" dxfId="5" priority="19" stopIfTrue="1"/>
  </conditionalFormatting>
  <conditionalFormatting sqref="A324">
    <cfRule type="duplicateValues" dxfId="4" priority="18" stopIfTrue="1"/>
  </conditionalFormatting>
  <conditionalFormatting sqref="A325">
    <cfRule type="duplicateValues" dxfId="3" priority="17" stopIfTrue="1"/>
  </conditionalFormatting>
  <conditionalFormatting sqref="A323 A312:A315">
    <cfRule type="duplicateValues" dxfId="2" priority="28" stopIfTrue="1"/>
  </conditionalFormatting>
  <conditionalFormatting sqref="A396:A407">
    <cfRule type="duplicateValues" dxfId="1" priority="382" stopIfTrue="1"/>
  </conditionalFormatting>
  <conditionalFormatting sqref="A316:A322">
    <cfRule type="duplicateValues" dxfId="0" priority="425" stopIfTrue="1"/>
  </conditionalFormatting>
  <hyperlinks>
    <hyperlink ref="B413" r:id="rId2"/>
  </hyperlinks>
  <pageMargins left="0.25" right="0.25" top="0.75" bottom="0.75" header="0.3" footer="0.3"/>
  <pageSetup paperSize="9" scale="46" orientation="portrait" r:id="rId3"/>
  <rowBreaks count="2" manualBreakCount="2">
    <brk id="186" max="13" man="1"/>
    <brk id="307" max="13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8"/>
  <sheetViews>
    <sheetView view="pageBreakPreview" zoomScale="70" zoomScaleNormal="40" zoomScaleSheetLayoutView="70" workbookViewId="0">
      <pane ySplit="8" topLeftCell="A9" activePane="bottomLeft" state="frozen"/>
      <selection pane="bottomLeft" activeCell="T98" sqref="T98"/>
    </sheetView>
  </sheetViews>
  <sheetFormatPr defaultRowHeight="13"/>
  <cols>
    <col min="1" max="1" width="31.36328125" style="5" customWidth="1"/>
    <col min="2" max="2" width="22.36328125" style="5" customWidth="1"/>
    <col min="3" max="3" width="7.54296875" style="5" customWidth="1"/>
    <col min="4" max="4" width="8.54296875" style="5" customWidth="1"/>
    <col min="5" max="5" width="11.54296875" style="5" customWidth="1"/>
    <col min="6" max="7" width="13" style="5" customWidth="1"/>
    <col min="8" max="8" width="12.36328125" style="5" customWidth="1"/>
    <col min="9" max="9" width="9.36328125" style="5" customWidth="1"/>
    <col min="10" max="10" width="11.90625" style="5" customWidth="1"/>
    <col min="11" max="11" width="11.453125" style="5" customWidth="1"/>
    <col min="12" max="12" width="16" style="5" customWidth="1"/>
    <col min="13" max="13" width="9.08984375" style="5" customWidth="1"/>
    <col min="14" max="14" width="13.81640625" style="5" bestFit="1" customWidth="1"/>
    <col min="15" max="16" width="9.08984375" style="32" customWidth="1"/>
    <col min="17" max="17" width="14.90625" style="32" customWidth="1"/>
    <col min="18" max="39" width="9.08984375" style="32" customWidth="1"/>
  </cols>
  <sheetData>
    <row r="1" spans="1:53" s="7" customFormat="1" ht="53.25" customHeight="1">
      <c r="A1" s="385"/>
      <c r="B1" s="386"/>
      <c r="C1" s="387"/>
      <c r="D1" s="386"/>
      <c r="E1" s="389"/>
      <c r="F1" s="386"/>
      <c r="G1" s="386"/>
      <c r="H1" s="386"/>
      <c r="I1" s="390"/>
      <c r="J1" s="390"/>
      <c r="K1" s="417"/>
      <c r="L1" s="406"/>
      <c r="M1" s="391" t="s">
        <v>515</v>
      </c>
      <c r="N1" s="4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</row>
    <row r="2" spans="1:53" s="7" customFormat="1" ht="15.75" customHeight="1" thickBot="1">
      <c r="A2" s="393"/>
      <c r="B2" s="203"/>
      <c r="C2" s="204"/>
      <c r="D2" s="203"/>
      <c r="E2" s="210"/>
      <c r="F2" s="203"/>
      <c r="G2" s="203"/>
      <c r="H2" s="203"/>
      <c r="I2" s="869"/>
      <c r="J2" s="869"/>
      <c r="K2" s="869"/>
      <c r="L2" s="869"/>
      <c r="M2" s="869"/>
      <c r="N2" s="870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s="7" customFormat="1" ht="18.75" customHeight="1" thickBot="1">
      <c r="A3" s="57"/>
      <c r="B3" s="57"/>
      <c r="C3" s="466" t="s">
        <v>1289</v>
      </c>
      <c r="D3" s="131">
        <v>0.35</v>
      </c>
      <c r="E3" s="326"/>
      <c r="F3" s="326"/>
      <c r="G3" s="326" t="s">
        <v>480</v>
      </c>
      <c r="H3" s="322">
        <f>SUM(L9:L48)</f>
        <v>0</v>
      </c>
      <c r="I3" s="738" t="s">
        <v>900</v>
      </c>
      <c r="J3" s="687"/>
      <c r="K3" s="134">
        <f>SUMPRODUCT(H9:H48,M9:M48)</f>
        <v>0</v>
      </c>
      <c r="L3" s="738" t="s">
        <v>478</v>
      </c>
      <c r="M3" s="687"/>
      <c r="N3" s="134">
        <f>SUMPRODUCT(H9:H48,N9:N48)</f>
        <v>0</v>
      </c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</row>
    <row r="4" spans="1:53" s="26" customFormat="1" ht="15" customHeight="1">
      <c r="A4" s="871" t="s">
        <v>1626</v>
      </c>
      <c r="B4" s="872"/>
      <c r="C4" s="872"/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3"/>
      <c r="O4" s="38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53" s="26" customFormat="1" ht="8.4" customHeight="1">
      <c r="A5" s="440"/>
      <c r="B5" s="273"/>
      <c r="C5" s="246"/>
      <c r="D5" s="274"/>
      <c r="E5" s="274"/>
      <c r="F5" s="275"/>
      <c r="G5" s="275"/>
      <c r="H5" s="246"/>
      <c r="I5" s="246"/>
      <c r="J5" s="246"/>
      <c r="K5" s="246"/>
      <c r="L5" s="246"/>
      <c r="M5" s="246"/>
      <c r="N5" s="458"/>
      <c r="O5" s="38"/>
      <c r="P5" s="58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53" ht="25.25" customHeight="1">
      <c r="A6" s="634" t="s">
        <v>47</v>
      </c>
      <c r="B6" s="551" t="s">
        <v>161</v>
      </c>
      <c r="C6" s="577" t="s">
        <v>48</v>
      </c>
      <c r="D6" s="577"/>
      <c r="E6" s="571" t="s">
        <v>492</v>
      </c>
      <c r="F6" s="578" t="s">
        <v>493</v>
      </c>
      <c r="G6" s="636" t="s">
        <v>740</v>
      </c>
      <c r="H6" s="580" t="s">
        <v>28</v>
      </c>
      <c r="I6" s="561" t="s">
        <v>22</v>
      </c>
      <c r="J6" s="858" t="s">
        <v>490</v>
      </c>
      <c r="K6" s="573" t="s">
        <v>491</v>
      </c>
      <c r="L6" s="858" t="s">
        <v>27</v>
      </c>
      <c r="M6" s="572" t="s">
        <v>23</v>
      </c>
      <c r="N6" s="635" t="s">
        <v>24</v>
      </c>
      <c r="O6" s="45"/>
    </row>
    <row r="7" spans="1:53" ht="25.25" customHeight="1">
      <c r="A7" s="634"/>
      <c r="B7" s="847"/>
      <c r="C7" s="577" t="s">
        <v>49</v>
      </c>
      <c r="D7" s="577" t="s">
        <v>50</v>
      </c>
      <c r="E7" s="571"/>
      <c r="F7" s="578"/>
      <c r="G7" s="636"/>
      <c r="H7" s="580"/>
      <c r="I7" s="561"/>
      <c r="J7" s="858"/>
      <c r="K7" s="573"/>
      <c r="L7" s="858"/>
      <c r="M7" s="572"/>
      <c r="N7" s="635"/>
      <c r="O7" s="45"/>
    </row>
    <row r="8" spans="1:53" ht="28.25" customHeight="1">
      <c r="A8" s="634"/>
      <c r="B8" s="847"/>
      <c r="C8" s="577"/>
      <c r="D8" s="577"/>
      <c r="E8" s="571"/>
      <c r="F8" s="578"/>
      <c r="G8" s="636"/>
      <c r="H8" s="580"/>
      <c r="I8" s="561"/>
      <c r="J8" s="858"/>
      <c r="K8" s="573"/>
      <c r="L8" s="858"/>
      <c r="M8" s="572"/>
      <c r="N8" s="635"/>
      <c r="O8" s="45"/>
    </row>
    <row r="9" spans="1:53" ht="17.25" customHeight="1">
      <c r="A9" s="855" t="s">
        <v>1627</v>
      </c>
      <c r="B9" s="143" t="s">
        <v>1627</v>
      </c>
      <c r="C9" s="535"/>
      <c r="D9" s="535"/>
      <c r="E9" s="792">
        <f>F9+F10</f>
        <v>11697</v>
      </c>
      <c r="F9" s="350">
        <v>5369</v>
      </c>
      <c r="G9" s="532">
        <v>790800</v>
      </c>
      <c r="H9" s="160"/>
      <c r="I9" s="145">
        <f>$D$3</f>
        <v>0.35</v>
      </c>
      <c r="J9" s="857">
        <f>SUM(E9-(E9*I9))</f>
        <v>7603.05</v>
      </c>
      <c r="K9" s="467">
        <f>SUM(F9-(E9*I9))</f>
        <v>1275.0500000000002</v>
      </c>
      <c r="L9" s="473">
        <f>H9*K9</f>
        <v>0</v>
      </c>
      <c r="M9" s="336"/>
      <c r="N9" s="367"/>
      <c r="Q9" s="92"/>
      <c r="R9" s="92"/>
    </row>
    <row r="10" spans="1:53" ht="18" customHeight="1">
      <c r="A10" s="856"/>
      <c r="B10" s="143" t="s">
        <v>1628</v>
      </c>
      <c r="C10" s="536"/>
      <c r="D10" s="536"/>
      <c r="E10" s="793"/>
      <c r="F10" s="350">
        <v>6328</v>
      </c>
      <c r="G10" s="532"/>
      <c r="H10" s="160"/>
      <c r="I10" s="145">
        <f>$D$3</f>
        <v>0.35</v>
      </c>
      <c r="J10" s="857"/>
      <c r="K10" s="467">
        <f t="shared" ref="K10:K12" si="0">SUM(F10-(E10*I10))</f>
        <v>6328</v>
      </c>
      <c r="L10" s="473">
        <f>H10*K10</f>
        <v>0</v>
      </c>
      <c r="M10" s="336"/>
      <c r="N10" s="367"/>
      <c r="P10" s="92"/>
      <c r="Q10" s="92"/>
      <c r="R10" s="92"/>
    </row>
    <row r="11" spans="1:53" ht="18" customHeight="1">
      <c r="A11" s="855" t="s">
        <v>1629</v>
      </c>
      <c r="B11" s="143" t="s">
        <v>1629</v>
      </c>
      <c r="C11" s="535"/>
      <c r="D11" s="535"/>
      <c r="E11" s="792">
        <f>F11+F12</f>
        <v>8570</v>
      </c>
      <c r="F11" s="350">
        <v>4473</v>
      </c>
      <c r="G11" s="532">
        <v>579400</v>
      </c>
      <c r="H11" s="160"/>
      <c r="I11" s="145">
        <f>$D$3</f>
        <v>0.35</v>
      </c>
      <c r="J11" s="857">
        <f>SUM(E11-(E11*I11))</f>
        <v>5570.5</v>
      </c>
      <c r="K11" s="467">
        <f t="shared" si="0"/>
        <v>1473.5</v>
      </c>
      <c r="L11" s="473">
        <f>H11*K11</f>
        <v>0</v>
      </c>
      <c r="M11" s="336"/>
      <c r="N11" s="367"/>
      <c r="P11" s="92"/>
      <c r="Q11" s="92"/>
      <c r="R11" s="92"/>
    </row>
    <row r="12" spans="1:53" ht="18" customHeight="1">
      <c r="A12" s="856"/>
      <c r="B12" s="143" t="s">
        <v>1630</v>
      </c>
      <c r="C12" s="536"/>
      <c r="D12" s="536"/>
      <c r="E12" s="793"/>
      <c r="F12" s="350">
        <v>4097</v>
      </c>
      <c r="G12" s="532"/>
      <c r="H12" s="160"/>
      <c r="I12" s="145">
        <f>$D$3</f>
        <v>0.35</v>
      </c>
      <c r="J12" s="857"/>
      <c r="K12" s="467">
        <f t="shared" si="0"/>
        <v>4097</v>
      </c>
      <c r="L12" s="473">
        <f>H12*K12</f>
        <v>0</v>
      </c>
      <c r="M12" s="336"/>
      <c r="N12" s="367"/>
      <c r="P12" s="92"/>
      <c r="Q12" s="92"/>
      <c r="R12" s="92"/>
    </row>
    <row r="13" spans="1:53" ht="18" customHeight="1">
      <c r="A13" s="855" t="s">
        <v>1629</v>
      </c>
      <c r="B13" s="135" t="s">
        <v>1629</v>
      </c>
      <c r="C13" s="535"/>
      <c r="D13" s="535"/>
      <c r="E13" s="792">
        <f>F13+F14</f>
        <v>9535</v>
      </c>
      <c r="F13" s="351">
        <v>4473</v>
      </c>
      <c r="G13" s="671">
        <v>644600</v>
      </c>
      <c r="H13" s="160"/>
      <c r="I13" s="145">
        <f t="shared" ref="I13:I20" si="1">$D$3</f>
        <v>0.35</v>
      </c>
      <c r="J13" s="857">
        <f>SUM(E13-(E13*I13))</f>
        <v>6197.75</v>
      </c>
      <c r="K13" s="474">
        <f t="shared" ref="K13:K20" si="2">SUM(F13-(F13*I13))</f>
        <v>2907.45</v>
      </c>
      <c r="L13" s="473">
        <f t="shared" ref="L13:L20" si="3">H13*K13</f>
        <v>0</v>
      </c>
      <c r="M13" s="336"/>
      <c r="N13" s="367"/>
      <c r="P13" s="92"/>
      <c r="Q13" s="92"/>
      <c r="R13" s="92"/>
    </row>
    <row r="14" spans="1:53" ht="18" customHeight="1">
      <c r="A14" s="856"/>
      <c r="B14" s="135" t="s">
        <v>1631</v>
      </c>
      <c r="C14" s="536"/>
      <c r="D14" s="536"/>
      <c r="E14" s="793"/>
      <c r="F14" s="146">
        <v>5062</v>
      </c>
      <c r="G14" s="672"/>
      <c r="H14" s="160"/>
      <c r="I14" s="145">
        <f t="shared" si="1"/>
        <v>0.35</v>
      </c>
      <c r="J14" s="857"/>
      <c r="K14" s="475">
        <f t="shared" si="2"/>
        <v>3290.3</v>
      </c>
      <c r="L14" s="473">
        <f t="shared" si="3"/>
        <v>0</v>
      </c>
      <c r="M14" s="336"/>
      <c r="N14" s="367"/>
      <c r="P14" s="92"/>
      <c r="Q14" s="92"/>
      <c r="R14" s="92"/>
    </row>
    <row r="15" spans="1:53" ht="18" customHeight="1">
      <c r="A15" s="855" t="str">
        <f>B15</f>
        <v>WSHG140DG</v>
      </c>
      <c r="B15" s="135" t="s">
        <v>1629</v>
      </c>
      <c r="C15" s="535"/>
      <c r="D15" s="535"/>
      <c r="E15" s="792">
        <f>F15+F16</f>
        <v>8377</v>
      </c>
      <c r="F15" s="146">
        <v>4473</v>
      </c>
      <c r="G15" s="671">
        <v>566400</v>
      </c>
      <c r="H15" s="160"/>
      <c r="I15" s="145">
        <f t="shared" si="1"/>
        <v>0.35</v>
      </c>
      <c r="J15" s="857">
        <f>SUM(E15-(E15*I15))</f>
        <v>5445.05</v>
      </c>
      <c r="K15" s="475">
        <f t="shared" si="2"/>
        <v>2907.45</v>
      </c>
      <c r="L15" s="473">
        <f>H15*K15</f>
        <v>0</v>
      </c>
      <c r="M15" s="336"/>
      <c r="N15" s="367"/>
      <c r="O15" s="55"/>
      <c r="P15" s="92"/>
      <c r="Q15" s="92"/>
      <c r="R15" s="92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</row>
    <row r="16" spans="1:53" ht="18" customHeight="1">
      <c r="A16" s="856"/>
      <c r="B16" s="135" t="s">
        <v>1632</v>
      </c>
      <c r="C16" s="536"/>
      <c r="D16" s="536"/>
      <c r="E16" s="793"/>
      <c r="F16" s="146">
        <v>3904</v>
      </c>
      <c r="G16" s="672"/>
      <c r="H16" s="160"/>
      <c r="I16" s="145">
        <f t="shared" si="1"/>
        <v>0.35</v>
      </c>
      <c r="J16" s="857"/>
      <c r="K16" s="475">
        <f t="shared" si="2"/>
        <v>2537.6000000000004</v>
      </c>
      <c r="L16" s="473">
        <f>H16*K16</f>
        <v>0</v>
      </c>
      <c r="M16" s="336"/>
      <c r="N16" s="367"/>
      <c r="O16" s="55"/>
      <c r="P16" s="92"/>
      <c r="Q16" s="92"/>
      <c r="R16" s="92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</row>
    <row r="17" spans="1:39" ht="18" customHeight="1">
      <c r="A17" s="855" t="str">
        <f t="shared" ref="A17" si="4">B17</f>
        <v>WSHG140DG</v>
      </c>
      <c r="B17" s="135" t="s">
        <v>1629</v>
      </c>
      <c r="C17" s="555"/>
      <c r="D17" s="555"/>
      <c r="E17" s="792">
        <f>F17+F18</f>
        <v>9535</v>
      </c>
      <c r="F17" s="146">
        <v>4473</v>
      </c>
      <c r="G17" s="671">
        <v>644600</v>
      </c>
      <c r="H17" s="160"/>
      <c r="I17" s="145">
        <f t="shared" si="1"/>
        <v>0.35</v>
      </c>
      <c r="J17" s="857">
        <f>SUM(E17-(E17*I17))</f>
        <v>6197.75</v>
      </c>
      <c r="K17" s="475">
        <f t="shared" si="2"/>
        <v>2907.45</v>
      </c>
      <c r="L17" s="473">
        <f t="shared" si="3"/>
        <v>0</v>
      </c>
      <c r="M17" s="336"/>
      <c r="N17" s="367"/>
      <c r="P17" s="92"/>
      <c r="Q17" s="92"/>
      <c r="R17" s="92"/>
    </row>
    <row r="18" spans="1:39" ht="18" customHeight="1">
      <c r="A18" s="856"/>
      <c r="B18" s="135" t="s">
        <v>1633</v>
      </c>
      <c r="C18" s="662"/>
      <c r="D18" s="662"/>
      <c r="E18" s="793"/>
      <c r="F18" s="146">
        <v>5062</v>
      </c>
      <c r="G18" s="672"/>
      <c r="H18" s="160"/>
      <c r="I18" s="145">
        <f t="shared" si="1"/>
        <v>0.35</v>
      </c>
      <c r="J18" s="857"/>
      <c r="K18" s="475">
        <f t="shared" si="2"/>
        <v>3290.3</v>
      </c>
      <c r="L18" s="473">
        <f t="shared" si="3"/>
        <v>0</v>
      </c>
      <c r="M18" s="336"/>
      <c r="N18" s="367"/>
      <c r="P18" s="92"/>
      <c r="Q18" s="92"/>
      <c r="R18" s="92"/>
    </row>
    <row r="19" spans="1:39" ht="18" customHeight="1">
      <c r="A19" s="855" t="str">
        <f t="shared" ref="A19" si="5">B19</f>
        <v>WSHG140DG</v>
      </c>
      <c r="B19" s="135" t="s">
        <v>1629</v>
      </c>
      <c r="C19" s="555"/>
      <c r="D19" s="555"/>
      <c r="E19" s="792">
        <f>F19+F20</f>
        <v>10273</v>
      </c>
      <c r="F19" s="146">
        <v>4473</v>
      </c>
      <c r="G19" s="671">
        <v>694500</v>
      </c>
      <c r="H19" s="160"/>
      <c r="I19" s="145">
        <f t="shared" si="1"/>
        <v>0.35</v>
      </c>
      <c r="J19" s="857">
        <f>SUM(E19-(E19*I19))</f>
        <v>6677.4500000000007</v>
      </c>
      <c r="K19" s="475">
        <f t="shared" si="2"/>
        <v>2907.45</v>
      </c>
      <c r="L19" s="473">
        <f t="shared" si="3"/>
        <v>0</v>
      </c>
      <c r="M19" s="336"/>
      <c r="N19" s="367"/>
      <c r="P19" s="92"/>
      <c r="Q19" s="92"/>
      <c r="R19" s="92"/>
    </row>
    <row r="20" spans="1:39" ht="18" customHeight="1">
      <c r="A20" s="856"/>
      <c r="B20" s="135" t="s">
        <v>1634</v>
      </c>
      <c r="C20" s="662"/>
      <c r="D20" s="662"/>
      <c r="E20" s="793"/>
      <c r="F20" s="146">
        <v>5800</v>
      </c>
      <c r="G20" s="672"/>
      <c r="H20" s="160"/>
      <c r="I20" s="145">
        <f t="shared" si="1"/>
        <v>0.35</v>
      </c>
      <c r="J20" s="857"/>
      <c r="K20" s="475">
        <f t="shared" si="2"/>
        <v>3770</v>
      </c>
      <c r="L20" s="473">
        <f t="shared" si="3"/>
        <v>0</v>
      </c>
      <c r="M20" s="336"/>
      <c r="N20" s="367"/>
      <c r="P20" s="92"/>
      <c r="Q20" s="92"/>
      <c r="R20" s="92"/>
    </row>
    <row r="21" spans="1:39" ht="18" customHeight="1">
      <c r="A21" s="855" t="str">
        <f t="shared" ref="A21" si="6">B21</f>
        <v>WSHA050DG</v>
      </c>
      <c r="B21" s="135" t="s">
        <v>1635</v>
      </c>
      <c r="C21" s="535"/>
      <c r="D21" s="535"/>
      <c r="E21" s="792">
        <f t="shared" ref="E21:E27" si="7">F21+F22</f>
        <v>5577</v>
      </c>
      <c r="F21" s="146">
        <v>3918</v>
      </c>
      <c r="G21" s="671">
        <v>377100</v>
      </c>
      <c r="H21" s="160"/>
      <c r="I21" s="145">
        <f t="shared" ref="I21:I28" si="8">$D$3</f>
        <v>0.35</v>
      </c>
      <c r="J21" s="857">
        <f>SUM(E21-(E21*I21))</f>
        <v>3625.05</v>
      </c>
      <c r="K21" s="475">
        <f t="shared" ref="K21:K28" si="9">SUM(F21-(F21*I21))</f>
        <v>2546.6999999999998</v>
      </c>
      <c r="L21" s="473">
        <f t="shared" ref="L21:L28" si="10">H21*K21</f>
        <v>0</v>
      </c>
      <c r="M21" s="336"/>
      <c r="N21" s="367"/>
      <c r="O21" s="55"/>
      <c r="P21" s="92"/>
      <c r="Q21" s="92"/>
      <c r="R21" s="92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</row>
    <row r="22" spans="1:39" ht="18" customHeight="1">
      <c r="A22" s="856"/>
      <c r="B22" s="135" t="s">
        <v>1636</v>
      </c>
      <c r="C22" s="536"/>
      <c r="D22" s="536"/>
      <c r="E22" s="793"/>
      <c r="F22" s="146">
        <v>1659</v>
      </c>
      <c r="G22" s="672"/>
      <c r="H22" s="160"/>
      <c r="I22" s="145">
        <f t="shared" si="8"/>
        <v>0.35</v>
      </c>
      <c r="J22" s="857"/>
      <c r="K22" s="475">
        <f t="shared" si="9"/>
        <v>1078.3499999999999</v>
      </c>
      <c r="L22" s="473">
        <f t="shared" si="10"/>
        <v>0</v>
      </c>
      <c r="M22" s="336"/>
      <c r="N22" s="367"/>
      <c r="O22" s="55"/>
      <c r="P22" s="92"/>
      <c r="Q22" s="92"/>
      <c r="R22" s="92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</row>
    <row r="23" spans="1:39" ht="18" customHeight="1">
      <c r="A23" s="855" t="str">
        <f t="shared" ref="A23" si="11">B23</f>
        <v>WSHA100DG</v>
      </c>
      <c r="B23" s="135" t="s">
        <v>1637</v>
      </c>
      <c r="C23" s="535"/>
      <c r="D23" s="535"/>
      <c r="E23" s="792">
        <f t="shared" si="7"/>
        <v>5980</v>
      </c>
      <c r="F23" s="146">
        <v>4321</v>
      </c>
      <c r="G23" s="671">
        <v>404300</v>
      </c>
      <c r="H23" s="160"/>
      <c r="I23" s="145">
        <f t="shared" si="8"/>
        <v>0.35</v>
      </c>
      <c r="J23" s="857">
        <f>SUM(E23-(E23*I23))</f>
        <v>3887</v>
      </c>
      <c r="K23" s="475">
        <f t="shared" si="9"/>
        <v>2808.65</v>
      </c>
      <c r="L23" s="473">
        <f t="shared" si="10"/>
        <v>0</v>
      </c>
      <c r="M23" s="336"/>
      <c r="N23" s="367"/>
      <c r="O23" s="55"/>
      <c r="P23" s="92"/>
      <c r="Q23" s="92"/>
      <c r="R23" s="92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</row>
    <row r="24" spans="1:39" ht="18" customHeight="1">
      <c r="A24" s="856"/>
      <c r="B24" s="135" t="s">
        <v>1636</v>
      </c>
      <c r="C24" s="536"/>
      <c r="D24" s="536"/>
      <c r="E24" s="793"/>
      <c r="F24" s="146">
        <v>1659</v>
      </c>
      <c r="G24" s="672"/>
      <c r="H24" s="160"/>
      <c r="I24" s="145">
        <f t="shared" si="8"/>
        <v>0.35</v>
      </c>
      <c r="J24" s="857"/>
      <c r="K24" s="475">
        <f t="shared" si="9"/>
        <v>1078.3499999999999</v>
      </c>
      <c r="L24" s="473">
        <f t="shared" si="10"/>
        <v>0</v>
      </c>
      <c r="M24" s="336"/>
      <c r="N24" s="367"/>
      <c r="O24" s="55"/>
      <c r="P24" s="92"/>
      <c r="Q24" s="92"/>
      <c r="R24" s="92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</row>
    <row r="25" spans="1:39" ht="18" customHeight="1">
      <c r="A25" s="855" t="str">
        <f t="shared" ref="A25" si="12">B25</f>
        <v>WSHA100DG</v>
      </c>
      <c r="B25" s="135" t="s">
        <v>1637</v>
      </c>
      <c r="C25" s="555"/>
      <c r="D25" s="555"/>
      <c r="E25" s="792">
        <f t="shared" si="7"/>
        <v>6430</v>
      </c>
      <c r="F25" s="146">
        <v>4321</v>
      </c>
      <c r="G25" s="671">
        <v>434700</v>
      </c>
      <c r="H25" s="160"/>
      <c r="I25" s="145">
        <f t="shared" si="8"/>
        <v>0.35</v>
      </c>
      <c r="J25" s="857">
        <f>SUM(E25-(E25*I25))</f>
        <v>4179.5</v>
      </c>
      <c r="K25" s="475">
        <f t="shared" si="9"/>
        <v>2808.65</v>
      </c>
      <c r="L25" s="473">
        <f t="shared" si="10"/>
        <v>0</v>
      </c>
      <c r="M25" s="336"/>
      <c r="N25" s="367"/>
      <c r="O25" s="55"/>
      <c r="P25" s="92"/>
      <c r="Q25" s="92"/>
      <c r="R25" s="92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</row>
    <row r="26" spans="1:39" ht="18" customHeight="1">
      <c r="A26" s="856"/>
      <c r="B26" s="135" t="s">
        <v>1638</v>
      </c>
      <c r="C26" s="662"/>
      <c r="D26" s="662"/>
      <c r="E26" s="793"/>
      <c r="F26" s="146">
        <v>2109</v>
      </c>
      <c r="G26" s="672"/>
      <c r="H26" s="160"/>
      <c r="I26" s="145">
        <f t="shared" si="8"/>
        <v>0.35</v>
      </c>
      <c r="J26" s="857"/>
      <c r="K26" s="475">
        <f t="shared" si="9"/>
        <v>1370.85</v>
      </c>
      <c r="L26" s="473">
        <f t="shared" si="10"/>
        <v>0</v>
      </c>
      <c r="M26" s="336"/>
      <c r="N26" s="367"/>
      <c r="O26" s="55"/>
      <c r="P26" s="92"/>
      <c r="Q26" s="92"/>
      <c r="R26" s="92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</row>
    <row r="27" spans="1:39" ht="18" customHeight="1">
      <c r="A27" s="855" t="str">
        <f t="shared" ref="A27" si="13">B27</f>
        <v>WSHA100DG</v>
      </c>
      <c r="B27" s="135" t="s">
        <v>1637</v>
      </c>
      <c r="C27" s="555"/>
      <c r="D27" s="555"/>
      <c r="E27" s="792">
        <f t="shared" si="7"/>
        <v>7636</v>
      </c>
      <c r="F27" s="146">
        <v>4321</v>
      </c>
      <c r="G27" s="671">
        <v>516200</v>
      </c>
      <c r="H27" s="160"/>
      <c r="I27" s="145">
        <f t="shared" si="8"/>
        <v>0.35</v>
      </c>
      <c r="J27" s="857">
        <f>SUM(E27-(E27*I27))</f>
        <v>4963.3999999999996</v>
      </c>
      <c r="K27" s="475">
        <f t="shared" si="9"/>
        <v>2808.65</v>
      </c>
      <c r="L27" s="473">
        <f t="shared" si="10"/>
        <v>0</v>
      </c>
      <c r="M27" s="336"/>
      <c r="N27" s="367"/>
      <c r="O27" s="55"/>
      <c r="P27" s="92"/>
      <c r="Q27" s="92"/>
      <c r="R27" s="92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</row>
    <row r="28" spans="1:39" ht="18" customHeight="1">
      <c r="A28" s="856"/>
      <c r="B28" s="135" t="s">
        <v>1639</v>
      </c>
      <c r="C28" s="662"/>
      <c r="D28" s="662"/>
      <c r="E28" s="793"/>
      <c r="F28" s="146">
        <v>3315</v>
      </c>
      <c r="G28" s="672"/>
      <c r="H28" s="160"/>
      <c r="I28" s="145">
        <f t="shared" si="8"/>
        <v>0.35</v>
      </c>
      <c r="J28" s="857"/>
      <c r="K28" s="475">
        <f t="shared" si="9"/>
        <v>2154.75</v>
      </c>
      <c r="L28" s="473">
        <f t="shared" si="10"/>
        <v>0</v>
      </c>
      <c r="M28" s="336"/>
      <c r="N28" s="367"/>
      <c r="O28" s="55"/>
      <c r="P28" s="92"/>
      <c r="Q28" s="92"/>
      <c r="R28" s="92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</row>
    <row r="29" spans="1:39" s="2" customFormat="1" ht="18" customHeight="1">
      <c r="A29" s="855" t="str">
        <f>B29</f>
        <v>WGHG160DJ6</v>
      </c>
      <c r="B29" s="135" t="s">
        <v>1640</v>
      </c>
      <c r="C29" s="555"/>
      <c r="D29" s="555"/>
      <c r="E29" s="792">
        <f>F29+F30</f>
        <v>15280</v>
      </c>
      <c r="F29" s="350">
        <v>8952</v>
      </c>
      <c r="G29" s="671">
        <v>1033000</v>
      </c>
      <c r="H29" s="160"/>
      <c r="I29" s="145">
        <f>$D$3</f>
        <v>0.35</v>
      </c>
      <c r="J29" s="857">
        <f>SUM(E29-(E29*I29))</f>
        <v>9932</v>
      </c>
      <c r="K29" s="467">
        <f>SUM(F29-(F29*I29))</f>
        <v>5818.8</v>
      </c>
      <c r="L29" s="473">
        <f>H29*K29</f>
        <v>0</v>
      </c>
      <c r="M29" s="336"/>
      <c r="N29" s="367"/>
      <c r="O29" s="44"/>
      <c r="P29" s="92"/>
      <c r="Q29" s="92"/>
      <c r="R29" s="92"/>
      <c r="S29" s="55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</row>
    <row r="30" spans="1:39" s="2" customFormat="1" ht="18" customHeight="1">
      <c r="A30" s="856"/>
      <c r="B30" s="135" t="s">
        <v>1628</v>
      </c>
      <c r="C30" s="662"/>
      <c r="D30" s="662"/>
      <c r="E30" s="793"/>
      <c r="F30" s="350">
        <v>6328</v>
      </c>
      <c r="G30" s="672"/>
      <c r="H30" s="160"/>
      <c r="I30" s="145">
        <f>$D$3</f>
        <v>0.35</v>
      </c>
      <c r="J30" s="857"/>
      <c r="K30" s="467">
        <f>SUM(F30-(F30*I30))</f>
        <v>4113.2000000000007</v>
      </c>
      <c r="L30" s="473">
        <f>H30*K30</f>
        <v>0</v>
      </c>
      <c r="M30" s="336"/>
      <c r="N30" s="367"/>
      <c r="O30" s="44"/>
      <c r="P30" s="92"/>
      <c r="Q30" s="92"/>
      <c r="R30" s="92"/>
      <c r="S30" s="55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39" s="2" customFormat="1" ht="18" customHeight="1">
      <c r="A31" s="855" t="str">
        <f t="shared" ref="A31" si="14">B31</f>
        <v>WGHG140DG</v>
      </c>
      <c r="B31" s="135" t="s">
        <v>1641</v>
      </c>
      <c r="C31" s="555"/>
      <c r="D31" s="555"/>
      <c r="E31" s="792">
        <f>F31+F32</f>
        <v>11556</v>
      </c>
      <c r="F31" s="350">
        <v>7459</v>
      </c>
      <c r="G31" s="671">
        <v>781300</v>
      </c>
      <c r="H31" s="160"/>
      <c r="I31" s="145">
        <f>$D$3</f>
        <v>0.35</v>
      </c>
      <c r="J31" s="857">
        <f>SUM(E31-(E31*I31))</f>
        <v>7511.4</v>
      </c>
      <c r="K31" s="467">
        <f>SUM(F31-(F31*I31))</f>
        <v>4848.3500000000004</v>
      </c>
      <c r="L31" s="473">
        <f>H31*K31</f>
        <v>0</v>
      </c>
      <c r="M31" s="336"/>
      <c r="N31" s="367"/>
      <c r="O31" s="44"/>
      <c r="P31" s="92"/>
      <c r="Q31" s="92"/>
      <c r="R31" s="92"/>
      <c r="S31" s="55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</row>
    <row r="32" spans="1:39" s="2" customFormat="1" ht="18" customHeight="1">
      <c r="A32" s="856"/>
      <c r="B32" s="135" t="s">
        <v>1630</v>
      </c>
      <c r="C32" s="662"/>
      <c r="D32" s="662"/>
      <c r="E32" s="793"/>
      <c r="F32" s="350">
        <v>4097</v>
      </c>
      <c r="G32" s="672"/>
      <c r="H32" s="160"/>
      <c r="I32" s="145">
        <f>$D$3</f>
        <v>0.35</v>
      </c>
      <c r="J32" s="857"/>
      <c r="K32" s="467">
        <f>SUM(F32-(F32*I32))</f>
        <v>2663.05</v>
      </c>
      <c r="L32" s="473">
        <f>H32*K32</f>
        <v>0</v>
      </c>
      <c r="M32" s="336"/>
      <c r="N32" s="367"/>
      <c r="O32" s="44"/>
      <c r="P32" s="92"/>
      <c r="Q32" s="92"/>
      <c r="R32" s="92"/>
      <c r="S32" s="55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9" s="2" customFormat="1" ht="18" customHeight="1">
      <c r="A33" s="855" t="str">
        <f t="shared" ref="A33" si="15">B33</f>
        <v>WGHG140DG</v>
      </c>
      <c r="B33" s="135" t="s">
        <v>1641</v>
      </c>
      <c r="C33" s="535"/>
      <c r="D33" s="535"/>
      <c r="E33" s="792">
        <f>F33+F34</f>
        <v>12521</v>
      </c>
      <c r="F33" s="350">
        <v>7459</v>
      </c>
      <c r="G33" s="671">
        <v>846500</v>
      </c>
      <c r="H33" s="160"/>
      <c r="I33" s="145">
        <f t="shared" ref="I33:I38" si="16">$D$3</f>
        <v>0.35</v>
      </c>
      <c r="J33" s="857">
        <f>SUM(E33-(E33*I33))</f>
        <v>8138.6500000000005</v>
      </c>
      <c r="K33" s="467">
        <f t="shared" ref="K33:K38" si="17">SUM(F33-(F33*I33))</f>
        <v>4848.3500000000004</v>
      </c>
      <c r="L33" s="473">
        <f t="shared" ref="L33:L38" si="18">H33*K33</f>
        <v>0</v>
      </c>
      <c r="M33" s="336"/>
      <c r="N33" s="367"/>
      <c r="O33" s="44"/>
      <c r="P33" s="92"/>
      <c r="Q33" s="92"/>
      <c r="R33" s="92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9" s="2" customFormat="1" ht="18" customHeight="1">
      <c r="A34" s="856"/>
      <c r="B34" s="135" t="s">
        <v>1631</v>
      </c>
      <c r="C34" s="536"/>
      <c r="D34" s="536"/>
      <c r="E34" s="793"/>
      <c r="F34" s="350">
        <v>5062</v>
      </c>
      <c r="G34" s="672"/>
      <c r="H34" s="160"/>
      <c r="I34" s="145">
        <f t="shared" si="16"/>
        <v>0.35</v>
      </c>
      <c r="J34" s="857"/>
      <c r="K34" s="467">
        <f t="shared" si="17"/>
        <v>3290.3</v>
      </c>
      <c r="L34" s="473">
        <f t="shared" si="18"/>
        <v>0</v>
      </c>
      <c r="M34" s="336"/>
      <c r="N34" s="367"/>
      <c r="O34" s="44"/>
      <c r="P34" s="92"/>
      <c r="Q34" s="92"/>
      <c r="R34" s="92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</row>
    <row r="35" spans="1:39" s="2" customFormat="1" ht="18" customHeight="1">
      <c r="A35" s="855" t="str">
        <f>B35</f>
        <v>WGHG140DG</v>
      </c>
      <c r="B35" s="135" t="s">
        <v>1641</v>
      </c>
      <c r="C35" s="535"/>
      <c r="D35" s="535"/>
      <c r="E35" s="792">
        <f>F35+F36</f>
        <v>11363</v>
      </c>
      <c r="F35" s="350">
        <v>7459</v>
      </c>
      <c r="G35" s="671">
        <v>768300</v>
      </c>
      <c r="H35" s="160"/>
      <c r="I35" s="145">
        <f t="shared" si="16"/>
        <v>0.35</v>
      </c>
      <c r="J35" s="857">
        <f>SUM(E35-(E35*I35))</f>
        <v>7385.9500000000007</v>
      </c>
      <c r="K35" s="467">
        <f t="shared" si="17"/>
        <v>4848.3500000000004</v>
      </c>
      <c r="L35" s="473">
        <f t="shared" si="18"/>
        <v>0</v>
      </c>
      <c r="M35" s="336"/>
      <c r="N35" s="367"/>
      <c r="O35" s="44"/>
      <c r="P35" s="92"/>
      <c r="Q35" s="92"/>
      <c r="R35" s="92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</row>
    <row r="36" spans="1:39" s="2" customFormat="1" ht="18" customHeight="1">
      <c r="A36" s="856"/>
      <c r="B36" s="135" t="s">
        <v>1632</v>
      </c>
      <c r="C36" s="536"/>
      <c r="D36" s="536"/>
      <c r="E36" s="793"/>
      <c r="F36" s="350">
        <v>3904</v>
      </c>
      <c r="G36" s="672"/>
      <c r="H36" s="160"/>
      <c r="I36" s="145">
        <f t="shared" si="16"/>
        <v>0.35</v>
      </c>
      <c r="J36" s="857"/>
      <c r="K36" s="467">
        <f t="shared" si="17"/>
        <v>2537.6000000000004</v>
      </c>
      <c r="L36" s="473">
        <f t="shared" si="18"/>
        <v>0</v>
      </c>
      <c r="M36" s="336"/>
      <c r="N36" s="367"/>
      <c r="O36" s="44"/>
      <c r="P36" s="92"/>
      <c r="Q36" s="92"/>
      <c r="R36" s="92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</row>
    <row r="37" spans="1:39" ht="18" customHeight="1">
      <c r="A37" s="855" t="str">
        <f t="shared" ref="A37" si="19">B37</f>
        <v>WGHG140DG</v>
      </c>
      <c r="B37" s="135" t="s">
        <v>1641</v>
      </c>
      <c r="C37" s="535"/>
      <c r="D37" s="535"/>
      <c r="E37" s="792">
        <f>F37+F38</f>
        <v>12521</v>
      </c>
      <c r="F37" s="350">
        <v>7459</v>
      </c>
      <c r="G37" s="671">
        <v>846500</v>
      </c>
      <c r="H37" s="160"/>
      <c r="I37" s="145">
        <f t="shared" si="16"/>
        <v>0.35</v>
      </c>
      <c r="J37" s="857">
        <f>SUM(E37-(E37*I37))</f>
        <v>8138.6500000000005</v>
      </c>
      <c r="K37" s="467">
        <f t="shared" si="17"/>
        <v>4848.3500000000004</v>
      </c>
      <c r="L37" s="473">
        <f t="shared" si="18"/>
        <v>0</v>
      </c>
      <c r="M37" s="336"/>
      <c r="N37" s="367"/>
      <c r="P37" s="92"/>
      <c r="Q37" s="92"/>
      <c r="R37" s="92"/>
      <c r="AK37"/>
      <c r="AL37"/>
      <c r="AM37"/>
    </row>
    <row r="38" spans="1:39" ht="18" customHeight="1">
      <c r="A38" s="856"/>
      <c r="B38" s="135" t="s">
        <v>1633</v>
      </c>
      <c r="C38" s="536"/>
      <c r="D38" s="536"/>
      <c r="E38" s="793"/>
      <c r="F38" s="350">
        <v>5062</v>
      </c>
      <c r="G38" s="672"/>
      <c r="H38" s="160"/>
      <c r="I38" s="145">
        <f t="shared" si="16"/>
        <v>0.35</v>
      </c>
      <c r="J38" s="857"/>
      <c r="K38" s="467">
        <f t="shared" si="17"/>
        <v>3290.3</v>
      </c>
      <c r="L38" s="473">
        <f t="shared" si="18"/>
        <v>0</v>
      </c>
      <c r="M38" s="336"/>
      <c r="N38" s="367"/>
      <c r="P38" s="92"/>
      <c r="Q38" s="92"/>
      <c r="R38" s="92"/>
      <c r="AK38"/>
      <c r="AL38"/>
      <c r="AM38"/>
    </row>
    <row r="39" spans="1:39" s="2" customFormat="1" ht="18" customHeight="1">
      <c r="A39" s="855" t="str">
        <f t="shared" ref="A39" si="20">B39</f>
        <v>WGHG140DG</v>
      </c>
      <c r="B39" s="135" t="s">
        <v>1641</v>
      </c>
      <c r="C39" s="555"/>
      <c r="D39" s="555"/>
      <c r="E39" s="792">
        <f>F39+F40</f>
        <v>13259</v>
      </c>
      <c r="F39" s="350">
        <v>7459</v>
      </c>
      <c r="G39" s="671">
        <v>896400</v>
      </c>
      <c r="H39" s="160"/>
      <c r="I39" s="145">
        <f>$D$3</f>
        <v>0.35</v>
      </c>
      <c r="J39" s="857">
        <f>SUM(E39-(E39*I39))</f>
        <v>8618.35</v>
      </c>
      <c r="K39" s="467">
        <f>SUM(F39-(F39*I39))</f>
        <v>4848.3500000000004</v>
      </c>
      <c r="L39" s="473">
        <f>H39*K39</f>
        <v>0</v>
      </c>
      <c r="M39" s="336"/>
      <c r="N39" s="367"/>
      <c r="O39" s="44"/>
      <c r="P39" s="92"/>
      <c r="Q39" s="92"/>
      <c r="R39" s="92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</row>
    <row r="40" spans="1:39" s="2" customFormat="1" ht="18" customHeight="1">
      <c r="A40" s="856"/>
      <c r="B40" s="135" t="s">
        <v>1634</v>
      </c>
      <c r="C40" s="662"/>
      <c r="D40" s="662"/>
      <c r="E40" s="793"/>
      <c r="F40" s="350">
        <v>5800</v>
      </c>
      <c r="G40" s="672"/>
      <c r="H40" s="160"/>
      <c r="I40" s="145">
        <f>$D$3</f>
        <v>0.35</v>
      </c>
      <c r="J40" s="857"/>
      <c r="K40" s="467">
        <f>SUM(F40-(F40*I40))</f>
        <v>3770</v>
      </c>
      <c r="L40" s="473">
        <f>H40*K40</f>
        <v>0</v>
      </c>
      <c r="M40" s="336"/>
      <c r="N40" s="367"/>
      <c r="O40" s="44"/>
      <c r="P40" s="92"/>
      <c r="Q40" s="92"/>
      <c r="R40" s="92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</row>
    <row r="41" spans="1:39" s="2" customFormat="1" ht="18" customHeight="1">
      <c r="A41" s="855" t="str">
        <f t="shared" ref="A41" si="21">B41</f>
        <v>WGHA050DG</v>
      </c>
      <c r="B41" s="135" t="s">
        <v>1642</v>
      </c>
      <c r="C41" s="555"/>
      <c r="D41" s="555"/>
      <c r="E41" s="792">
        <f>F41+F42</f>
        <v>8515</v>
      </c>
      <c r="F41" s="350">
        <v>6856</v>
      </c>
      <c r="G41" s="671">
        <v>575700</v>
      </c>
      <c r="H41" s="160"/>
      <c r="I41" s="145">
        <f>$D$3</f>
        <v>0.35</v>
      </c>
      <c r="J41" s="857">
        <f>SUM(E41-(E41*I41))</f>
        <v>5534.75</v>
      </c>
      <c r="K41" s="467">
        <f>SUM(F41-(F41*I41))</f>
        <v>4456.3999999999996</v>
      </c>
      <c r="L41" s="473">
        <f>H41*K41</f>
        <v>0</v>
      </c>
      <c r="M41" s="336"/>
      <c r="N41" s="367"/>
      <c r="O41" s="44"/>
      <c r="P41" s="92"/>
      <c r="Q41" s="92"/>
      <c r="R41" s="92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</row>
    <row r="42" spans="1:39" s="2" customFormat="1" ht="18" customHeight="1">
      <c r="A42" s="856"/>
      <c r="B42" s="135" t="s">
        <v>1636</v>
      </c>
      <c r="C42" s="662"/>
      <c r="D42" s="662"/>
      <c r="E42" s="793"/>
      <c r="F42" s="350">
        <v>1659</v>
      </c>
      <c r="G42" s="672"/>
      <c r="H42" s="160"/>
      <c r="I42" s="145">
        <f>$D$3</f>
        <v>0.35</v>
      </c>
      <c r="J42" s="857"/>
      <c r="K42" s="467">
        <f>SUM(F42-(F42*I42))</f>
        <v>1078.3499999999999</v>
      </c>
      <c r="L42" s="473">
        <f>H42*K42</f>
        <v>0</v>
      </c>
      <c r="M42" s="336"/>
      <c r="N42" s="367"/>
      <c r="O42" s="44"/>
      <c r="P42" s="92"/>
      <c r="Q42" s="92"/>
      <c r="R42" s="92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</row>
    <row r="43" spans="1:39" s="2" customFormat="1" ht="18" customHeight="1">
      <c r="A43" s="855" t="str">
        <f t="shared" ref="A43" si="22">B43</f>
        <v>WGHA100DG</v>
      </c>
      <c r="B43" s="135" t="s">
        <v>1643</v>
      </c>
      <c r="C43" s="535"/>
      <c r="D43" s="535"/>
      <c r="E43" s="792">
        <f>F43+F44</f>
        <v>8817</v>
      </c>
      <c r="F43" s="350">
        <v>7158</v>
      </c>
      <c r="G43" s="671">
        <v>596100</v>
      </c>
      <c r="H43" s="160"/>
      <c r="I43" s="145">
        <f t="shared" ref="I43:I49" si="23">$D$3</f>
        <v>0.35</v>
      </c>
      <c r="J43" s="857">
        <f>SUM(E43-(E43*I43))</f>
        <v>5731.05</v>
      </c>
      <c r="K43" s="467">
        <f t="shared" ref="K43:K48" si="24">SUM(F43-(F43*I43))</f>
        <v>4652.7000000000007</v>
      </c>
      <c r="L43" s="473">
        <f t="shared" ref="L43:L48" si="25">H43*K43</f>
        <v>0</v>
      </c>
      <c r="M43" s="336"/>
      <c r="N43" s="367"/>
      <c r="O43" s="44"/>
      <c r="P43" s="92"/>
      <c r="Q43" s="92"/>
      <c r="R43" s="92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</row>
    <row r="44" spans="1:39" s="2" customFormat="1" ht="18" customHeight="1">
      <c r="A44" s="856"/>
      <c r="B44" s="135" t="s">
        <v>1636</v>
      </c>
      <c r="C44" s="536"/>
      <c r="D44" s="536"/>
      <c r="E44" s="793"/>
      <c r="F44" s="350">
        <v>1659</v>
      </c>
      <c r="G44" s="672"/>
      <c r="H44" s="160"/>
      <c r="I44" s="145">
        <f t="shared" si="23"/>
        <v>0.35</v>
      </c>
      <c r="J44" s="857"/>
      <c r="K44" s="467">
        <f t="shared" si="24"/>
        <v>1078.3499999999999</v>
      </c>
      <c r="L44" s="473">
        <f t="shared" si="25"/>
        <v>0</v>
      </c>
      <c r="M44" s="336"/>
      <c r="N44" s="367"/>
      <c r="O44" s="44"/>
      <c r="P44" s="92"/>
      <c r="Q44" s="92"/>
      <c r="R44" s="92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</row>
    <row r="45" spans="1:39" s="2" customFormat="1" ht="18" customHeight="1">
      <c r="A45" s="855" t="str">
        <f>B45</f>
        <v>WGHA100DG</v>
      </c>
      <c r="B45" s="135" t="s">
        <v>1643</v>
      </c>
      <c r="C45" s="535"/>
      <c r="D45" s="535"/>
      <c r="E45" s="792">
        <f>F45+F46</f>
        <v>9267</v>
      </c>
      <c r="F45" s="350">
        <v>7158</v>
      </c>
      <c r="G45" s="671">
        <v>626500</v>
      </c>
      <c r="H45" s="160"/>
      <c r="I45" s="145">
        <f t="shared" si="23"/>
        <v>0.35</v>
      </c>
      <c r="J45" s="857">
        <f>SUM(E45-(E45*I45))</f>
        <v>6023.55</v>
      </c>
      <c r="K45" s="467">
        <f t="shared" si="24"/>
        <v>4652.7000000000007</v>
      </c>
      <c r="L45" s="473">
        <f t="shared" si="25"/>
        <v>0</v>
      </c>
      <c r="M45" s="336"/>
      <c r="N45" s="367"/>
      <c r="O45" s="44"/>
      <c r="P45" s="92"/>
      <c r="Q45" s="92"/>
      <c r="R45" s="92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</row>
    <row r="46" spans="1:39" s="2" customFormat="1" ht="18" customHeight="1">
      <c r="A46" s="856"/>
      <c r="B46" s="135" t="s">
        <v>1638</v>
      </c>
      <c r="C46" s="536"/>
      <c r="D46" s="536"/>
      <c r="E46" s="793"/>
      <c r="F46" s="350">
        <v>2109</v>
      </c>
      <c r="G46" s="672"/>
      <c r="H46" s="160"/>
      <c r="I46" s="145">
        <f t="shared" si="23"/>
        <v>0.35</v>
      </c>
      <c r="J46" s="857"/>
      <c r="K46" s="467">
        <f t="shared" si="24"/>
        <v>1370.85</v>
      </c>
      <c r="L46" s="473">
        <f t="shared" si="25"/>
        <v>0</v>
      </c>
      <c r="M46" s="336"/>
      <c r="N46" s="367"/>
      <c r="O46" s="44"/>
      <c r="P46" s="92"/>
      <c r="Q46" s="92"/>
      <c r="R46" s="92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</row>
    <row r="47" spans="1:39" ht="18" customHeight="1">
      <c r="A47" s="855" t="str">
        <f t="shared" ref="A47" si="26">B47</f>
        <v>WGHA100DG</v>
      </c>
      <c r="B47" s="135" t="s">
        <v>1643</v>
      </c>
      <c r="C47" s="535"/>
      <c r="D47" s="535"/>
      <c r="E47" s="792">
        <f>F47+F48</f>
        <v>10473</v>
      </c>
      <c r="F47" s="350">
        <v>7158</v>
      </c>
      <c r="G47" s="671">
        <v>708000</v>
      </c>
      <c r="H47" s="160"/>
      <c r="I47" s="145">
        <f t="shared" si="23"/>
        <v>0.35</v>
      </c>
      <c r="J47" s="857">
        <f>SUM(E47-(E47*I47))</f>
        <v>6807.4500000000007</v>
      </c>
      <c r="K47" s="467">
        <f t="shared" si="24"/>
        <v>4652.7000000000007</v>
      </c>
      <c r="L47" s="473">
        <f t="shared" si="25"/>
        <v>0</v>
      </c>
      <c r="M47" s="336"/>
      <c r="N47" s="367"/>
      <c r="P47" s="92"/>
      <c r="Q47" s="92"/>
      <c r="R47" s="92"/>
      <c r="AK47"/>
      <c r="AL47"/>
      <c r="AM47"/>
    </row>
    <row r="48" spans="1:39" ht="18" customHeight="1">
      <c r="A48" s="856"/>
      <c r="B48" s="135" t="s">
        <v>1639</v>
      </c>
      <c r="C48" s="536"/>
      <c r="D48" s="536"/>
      <c r="E48" s="793"/>
      <c r="F48" s="350">
        <v>3315</v>
      </c>
      <c r="G48" s="672"/>
      <c r="H48" s="160"/>
      <c r="I48" s="145">
        <f t="shared" si="23"/>
        <v>0.35</v>
      </c>
      <c r="J48" s="857"/>
      <c r="K48" s="467">
        <f t="shared" si="24"/>
        <v>2154.75</v>
      </c>
      <c r="L48" s="473">
        <f t="shared" si="25"/>
        <v>0</v>
      </c>
      <c r="M48" s="336"/>
      <c r="N48" s="367"/>
      <c r="P48" s="92"/>
      <c r="Q48" s="92"/>
      <c r="R48" s="92"/>
      <c r="AK48"/>
      <c r="AL48"/>
      <c r="AM48"/>
    </row>
    <row r="49" spans="1:39" s="2" customFormat="1" ht="12.75" hidden="1" customHeight="1">
      <c r="A49" s="459" t="s">
        <v>671</v>
      </c>
      <c r="B49" s="865" t="s">
        <v>180</v>
      </c>
      <c r="C49" s="865"/>
      <c r="D49" s="865"/>
      <c r="E49" s="865"/>
      <c r="F49" s="350">
        <v>0</v>
      </c>
      <c r="G49" s="276"/>
      <c r="H49" s="339"/>
      <c r="I49" s="277">
        <f t="shared" si="23"/>
        <v>0.35</v>
      </c>
      <c r="J49" s="339"/>
      <c r="K49" s="278" t="e">
        <f>SUM(#REF!-(#REF!*I49))</f>
        <v>#REF!</v>
      </c>
      <c r="L49" s="279" t="e">
        <f>H49*K49</f>
        <v>#REF!</v>
      </c>
      <c r="M49" s="280">
        <v>2E-3</v>
      </c>
      <c r="N49" s="460">
        <v>0.23</v>
      </c>
      <c r="O49" s="90"/>
      <c r="P49" s="92"/>
      <c r="Q49" s="92"/>
      <c r="R49" s="92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</row>
    <row r="50" spans="1:39" ht="12" customHeight="1">
      <c r="A50" s="4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281"/>
      <c r="M50" s="161"/>
      <c r="N50" s="462"/>
      <c r="O50" s="89"/>
      <c r="P50" s="92"/>
      <c r="Q50" s="92"/>
      <c r="R50" s="92"/>
      <c r="AK50"/>
      <c r="AL50"/>
      <c r="AM50"/>
    </row>
    <row r="51" spans="1:39" ht="30" customHeight="1">
      <c r="A51" s="862" t="s">
        <v>51</v>
      </c>
      <c r="B51" s="863"/>
      <c r="C51" s="863"/>
      <c r="D51" s="863"/>
      <c r="E51" s="863"/>
      <c r="F51" s="863"/>
      <c r="G51" s="863"/>
      <c r="H51" s="863"/>
      <c r="I51" s="863"/>
      <c r="J51" s="863"/>
      <c r="K51" s="863"/>
      <c r="L51" s="863"/>
      <c r="M51" s="863"/>
      <c r="N51" s="864"/>
      <c r="O51" s="91"/>
      <c r="P51" s="38"/>
      <c r="Q51" s="92"/>
      <c r="R51" s="92"/>
      <c r="AK51"/>
      <c r="AL51"/>
      <c r="AM51"/>
    </row>
    <row r="52" spans="1:39" ht="66" customHeight="1">
      <c r="A52" s="400"/>
      <c r="B52" s="859" t="s">
        <v>365</v>
      </c>
      <c r="C52" s="860"/>
      <c r="D52" s="860"/>
      <c r="E52" s="861"/>
      <c r="F52" s="172" t="s">
        <v>494</v>
      </c>
      <c r="G52" s="360" t="s">
        <v>740</v>
      </c>
      <c r="H52" s="341" t="s">
        <v>28</v>
      </c>
      <c r="I52" s="341" t="s">
        <v>22</v>
      </c>
      <c r="J52" s="173" t="s">
        <v>490</v>
      </c>
      <c r="K52" s="271"/>
      <c r="L52" s="173" t="s">
        <v>27</v>
      </c>
      <c r="M52" s="271" t="s">
        <v>23</v>
      </c>
      <c r="N52" s="433" t="s">
        <v>24</v>
      </c>
      <c r="Q52" s="92"/>
      <c r="R52" s="92"/>
      <c r="AK52"/>
      <c r="AL52"/>
      <c r="AM52"/>
    </row>
    <row r="53" spans="1:39" s="1" customFormat="1" ht="16.5" customHeight="1">
      <c r="A53" s="463" t="s">
        <v>448</v>
      </c>
      <c r="B53" s="866" t="s">
        <v>1675</v>
      </c>
      <c r="C53" s="867"/>
      <c r="D53" s="868"/>
      <c r="E53" s="476"/>
      <c r="F53" s="350">
        <v>7272</v>
      </c>
      <c r="G53" s="477">
        <v>472700</v>
      </c>
      <c r="H53" s="282"/>
      <c r="I53" s="283">
        <f t="shared" ref="I53:I96" si="27">$D$3</f>
        <v>0.35</v>
      </c>
      <c r="J53" s="357">
        <f t="shared" ref="J53:J96" si="28">SUM(F53-(F53*I53))</f>
        <v>4726.8</v>
      </c>
      <c r="K53" s="284"/>
      <c r="L53" s="331">
        <f>H53*J53</f>
        <v>0</v>
      </c>
      <c r="M53" s="285"/>
      <c r="N53" s="464"/>
      <c r="O53" s="32"/>
      <c r="P53" s="32"/>
      <c r="Q53" s="92"/>
      <c r="R53" s="9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s="1" customFormat="1" ht="16.5" customHeight="1">
      <c r="A54" s="463" t="s">
        <v>447</v>
      </c>
      <c r="B54" s="866" t="s">
        <v>1676</v>
      </c>
      <c r="C54" s="867"/>
      <c r="D54" s="868"/>
      <c r="E54" s="476"/>
      <c r="F54" s="350">
        <v>164</v>
      </c>
      <c r="G54" s="477">
        <v>10700</v>
      </c>
      <c r="H54" s="282"/>
      <c r="I54" s="283">
        <f t="shared" si="27"/>
        <v>0.35</v>
      </c>
      <c r="J54" s="357">
        <f t="shared" si="28"/>
        <v>106.6</v>
      </c>
      <c r="K54" s="284"/>
      <c r="L54" s="331">
        <f t="shared" ref="L54:L96" si="29">H54*J54</f>
        <v>0</v>
      </c>
      <c r="M54" s="285"/>
      <c r="N54" s="464"/>
      <c r="O54" s="32"/>
      <c r="P54" s="92"/>
      <c r="Q54" s="92"/>
      <c r="R54" s="9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s="1" customFormat="1" ht="16.5" customHeight="1">
      <c r="A55" s="463" t="s">
        <v>1644</v>
      </c>
      <c r="B55" s="866" t="s">
        <v>1677</v>
      </c>
      <c r="C55" s="867"/>
      <c r="D55" s="868"/>
      <c r="E55" s="476"/>
      <c r="F55" s="350">
        <v>710</v>
      </c>
      <c r="G55" s="477">
        <v>46200</v>
      </c>
      <c r="H55" s="282"/>
      <c r="I55" s="283">
        <f t="shared" si="27"/>
        <v>0.35</v>
      </c>
      <c r="J55" s="357">
        <f t="shared" si="28"/>
        <v>461.5</v>
      </c>
      <c r="K55" s="284"/>
      <c r="L55" s="331">
        <f t="shared" si="29"/>
        <v>0</v>
      </c>
      <c r="M55" s="285"/>
      <c r="N55" s="464"/>
      <c r="O55" s="32"/>
      <c r="P55" s="92"/>
      <c r="Q55" s="92"/>
      <c r="R55" s="9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s="1" customFormat="1" ht="32.25" customHeight="1">
      <c r="A56" s="463" t="s">
        <v>1645</v>
      </c>
      <c r="B56" s="866" t="s">
        <v>1678</v>
      </c>
      <c r="C56" s="867"/>
      <c r="D56" s="868"/>
      <c r="E56" s="476"/>
      <c r="F56" s="350">
        <v>423</v>
      </c>
      <c r="G56" s="477">
        <v>27500</v>
      </c>
      <c r="H56" s="282"/>
      <c r="I56" s="283">
        <f t="shared" si="27"/>
        <v>0.35</v>
      </c>
      <c r="J56" s="357">
        <f t="shared" si="28"/>
        <v>274.95000000000005</v>
      </c>
      <c r="K56" s="284"/>
      <c r="L56" s="331">
        <f t="shared" si="29"/>
        <v>0</v>
      </c>
      <c r="M56" s="285"/>
      <c r="N56" s="464"/>
      <c r="O56" s="32"/>
      <c r="P56" s="92"/>
      <c r="Q56" s="92"/>
      <c r="R56" s="9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s="1" customFormat="1" ht="32.25" customHeight="1">
      <c r="A57" s="463" t="s">
        <v>1646</v>
      </c>
      <c r="B57" s="866" t="s">
        <v>1679</v>
      </c>
      <c r="C57" s="867"/>
      <c r="D57" s="868"/>
      <c r="E57" s="476"/>
      <c r="F57" s="350">
        <v>448</v>
      </c>
      <c r="G57" s="477">
        <v>29200</v>
      </c>
      <c r="H57" s="282"/>
      <c r="I57" s="283">
        <f t="shared" si="27"/>
        <v>0.35</v>
      </c>
      <c r="J57" s="357">
        <f t="shared" si="28"/>
        <v>291.20000000000005</v>
      </c>
      <c r="K57" s="284"/>
      <c r="L57" s="331">
        <f t="shared" si="29"/>
        <v>0</v>
      </c>
      <c r="M57" s="285"/>
      <c r="N57" s="464"/>
      <c r="O57" s="32"/>
      <c r="P57" s="92"/>
      <c r="Q57" s="92"/>
      <c r="R57" s="9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s="1" customFormat="1" ht="16.5" customHeight="1">
      <c r="A58" s="463" t="s">
        <v>1647</v>
      </c>
      <c r="B58" s="866" t="s">
        <v>1678</v>
      </c>
      <c r="C58" s="867"/>
      <c r="D58" s="868"/>
      <c r="E58" s="476"/>
      <c r="F58" s="350">
        <v>224</v>
      </c>
      <c r="G58" s="477">
        <v>14600</v>
      </c>
      <c r="H58" s="282"/>
      <c r="I58" s="283">
        <f t="shared" si="27"/>
        <v>0.35</v>
      </c>
      <c r="J58" s="357">
        <f t="shared" si="28"/>
        <v>145.60000000000002</v>
      </c>
      <c r="K58" s="284"/>
      <c r="L58" s="331">
        <f t="shared" si="29"/>
        <v>0</v>
      </c>
      <c r="M58" s="285"/>
      <c r="N58" s="464"/>
      <c r="O58" s="32"/>
      <c r="P58" s="92"/>
      <c r="Q58" s="92"/>
      <c r="R58" s="9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s="1" customFormat="1" ht="16.5" customHeight="1">
      <c r="A59" s="463" t="s">
        <v>449</v>
      </c>
      <c r="B59" s="866" t="s">
        <v>801</v>
      </c>
      <c r="C59" s="867"/>
      <c r="D59" s="868"/>
      <c r="E59" s="476"/>
      <c r="F59" s="350">
        <v>1144</v>
      </c>
      <c r="G59" s="477">
        <v>74400</v>
      </c>
      <c r="H59" s="282"/>
      <c r="I59" s="283">
        <f t="shared" si="27"/>
        <v>0.35</v>
      </c>
      <c r="J59" s="357">
        <f t="shared" si="28"/>
        <v>743.6</v>
      </c>
      <c r="K59" s="284"/>
      <c r="L59" s="331">
        <f t="shared" si="29"/>
        <v>0</v>
      </c>
      <c r="M59" s="285"/>
      <c r="N59" s="464"/>
      <c r="O59" s="32"/>
      <c r="P59" s="92"/>
      <c r="Q59" s="92"/>
      <c r="R59" s="9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s="1" customFormat="1" ht="16.5" customHeight="1">
      <c r="A60" s="463" t="s">
        <v>1648</v>
      </c>
      <c r="B60" s="866" t="s">
        <v>1680</v>
      </c>
      <c r="C60" s="867"/>
      <c r="D60" s="868"/>
      <c r="E60" s="476"/>
      <c r="F60" s="350">
        <v>328</v>
      </c>
      <c r="G60" s="477">
        <v>21400</v>
      </c>
      <c r="H60" s="282"/>
      <c r="I60" s="283">
        <f t="shared" si="27"/>
        <v>0.35</v>
      </c>
      <c r="J60" s="357">
        <f t="shared" si="28"/>
        <v>213.2</v>
      </c>
      <c r="K60" s="284"/>
      <c r="L60" s="331">
        <f t="shared" si="29"/>
        <v>0</v>
      </c>
      <c r="M60" s="285"/>
      <c r="N60" s="464"/>
      <c r="O60" s="32"/>
      <c r="P60" s="92"/>
      <c r="Q60" s="92"/>
      <c r="R60" s="9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s="1" customFormat="1" ht="16.5" customHeight="1">
      <c r="A61" s="463" t="s">
        <v>1649</v>
      </c>
      <c r="B61" s="866" t="s">
        <v>1681</v>
      </c>
      <c r="C61" s="867"/>
      <c r="D61" s="868"/>
      <c r="E61" s="476"/>
      <c r="F61" s="350">
        <v>131</v>
      </c>
      <c r="G61" s="477">
        <v>8600</v>
      </c>
      <c r="H61" s="282"/>
      <c r="I61" s="283">
        <f t="shared" si="27"/>
        <v>0.35</v>
      </c>
      <c r="J61" s="357">
        <f t="shared" si="28"/>
        <v>85.15</v>
      </c>
      <c r="K61" s="284"/>
      <c r="L61" s="331">
        <f t="shared" si="29"/>
        <v>0</v>
      </c>
      <c r="M61" s="285"/>
      <c r="N61" s="464"/>
      <c r="O61" s="32"/>
      <c r="P61" s="92"/>
      <c r="Q61" s="92"/>
      <c r="R61" s="9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s="1" customFormat="1" ht="16.5" customHeight="1">
      <c r="A62" s="463" t="s">
        <v>1650</v>
      </c>
      <c r="B62" s="866"/>
      <c r="C62" s="867"/>
      <c r="D62" s="868"/>
      <c r="E62" s="476"/>
      <c r="F62" s="350">
        <v>1341</v>
      </c>
      <c r="G62" s="477">
        <v>87200</v>
      </c>
      <c r="H62" s="282"/>
      <c r="I62" s="283">
        <f t="shared" si="27"/>
        <v>0.35</v>
      </c>
      <c r="J62" s="357">
        <f t="shared" si="28"/>
        <v>871.65000000000009</v>
      </c>
      <c r="K62" s="284"/>
      <c r="L62" s="331">
        <f t="shared" si="29"/>
        <v>0</v>
      </c>
      <c r="M62" s="285"/>
      <c r="N62" s="464"/>
      <c r="O62" s="32"/>
      <c r="P62" s="92"/>
      <c r="Q62" s="92"/>
      <c r="R62" s="9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s="1" customFormat="1" ht="16.5" customHeight="1">
      <c r="A63" s="463" t="s">
        <v>1651</v>
      </c>
      <c r="B63" s="866"/>
      <c r="C63" s="867"/>
      <c r="D63" s="868"/>
      <c r="E63" s="476"/>
      <c r="F63" s="350">
        <v>1341</v>
      </c>
      <c r="G63" s="477">
        <v>87200</v>
      </c>
      <c r="H63" s="282"/>
      <c r="I63" s="283">
        <f t="shared" si="27"/>
        <v>0.35</v>
      </c>
      <c r="J63" s="357">
        <f t="shared" si="28"/>
        <v>871.65000000000009</v>
      </c>
      <c r="K63" s="284"/>
      <c r="L63" s="331">
        <f t="shared" si="29"/>
        <v>0</v>
      </c>
      <c r="M63" s="285"/>
      <c r="N63" s="464"/>
      <c r="O63" s="32"/>
      <c r="P63" s="92"/>
      <c r="Q63" s="92"/>
      <c r="R63" s="9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s="1" customFormat="1" ht="16.5" customHeight="1">
      <c r="A64" s="463" t="s">
        <v>1645</v>
      </c>
      <c r="B64" s="866"/>
      <c r="C64" s="867"/>
      <c r="D64" s="868"/>
      <c r="E64" s="476"/>
      <c r="F64" s="350">
        <v>423</v>
      </c>
      <c r="G64" s="477">
        <v>27500</v>
      </c>
      <c r="H64" s="282"/>
      <c r="I64" s="283">
        <f t="shared" si="27"/>
        <v>0.35</v>
      </c>
      <c r="J64" s="357">
        <f t="shared" si="28"/>
        <v>274.95000000000005</v>
      </c>
      <c r="K64" s="284"/>
      <c r="L64" s="331">
        <f t="shared" si="29"/>
        <v>0</v>
      </c>
      <c r="M64" s="285"/>
      <c r="N64" s="464"/>
      <c r="O64" s="32"/>
      <c r="P64" s="92"/>
      <c r="Q64" s="92"/>
      <c r="R64" s="9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s="1" customFormat="1" ht="16.5" customHeight="1">
      <c r="A65" s="463" t="s">
        <v>1652</v>
      </c>
      <c r="B65" s="866"/>
      <c r="C65" s="867"/>
      <c r="D65" s="868"/>
      <c r="E65" s="363"/>
      <c r="F65" s="361">
        <v>437</v>
      </c>
      <c r="G65" s="477">
        <v>28500</v>
      </c>
      <c r="H65" s="282"/>
      <c r="I65" s="283">
        <f t="shared" si="27"/>
        <v>0.35</v>
      </c>
      <c r="J65" s="362">
        <f t="shared" si="28"/>
        <v>284.05</v>
      </c>
      <c r="K65" s="284"/>
      <c r="L65" s="359">
        <f t="shared" si="29"/>
        <v>0</v>
      </c>
      <c r="M65" s="285"/>
      <c r="N65" s="464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</row>
    <row r="66" spans="1:39" s="1" customFormat="1" ht="16.5" customHeight="1">
      <c r="A66" s="463" t="s">
        <v>449</v>
      </c>
      <c r="B66" s="866"/>
      <c r="C66" s="867"/>
      <c r="D66" s="868"/>
      <c r="E66" s="363"/>
      <c r="F66" s="361">
        <v>1144</v>
      </c>
      <c r="G66" s="477">
        <v>74400</v>
      </c>
      <c r="H66" s="282"/>
      <c r="I66" s="283">
        <f t="shared" si="27"/>
        <v>0.35</v>
      </c>
      <c r="J66" s="362">
        <f t="shared" si="28"/>
        <v>743.6</v>
      </c>
      <c r="K66" s="284"/>
      <c r="L66" s="359">
        <f t="shared" si="29"/>
        <v>0</v>
      </c>
      <c r="M66" s="285"/>
      <c r="N66" s="464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</row>
    <row r="67" spans="1:39" s="1" customFormat="1" ht="16.5" customHeight="1">
      <c r="A67" s="463" t="s">
        <v>1653</v>
      </c>
      <c r="B67" s="866"/>
      <c r="C67" s="867"/>
      <c r="D67" s="868"/>
      <c r="E67" s="363"/>
      <c r="F67" s="361">
        <v>300</v>
      </c>
      <c r="G67" s="477">
        <v>19500</v>
      </c>
      <c r="H67" s="282"/>
      <c r="I67" s="283">
        <f t="shared" si="27"/>
        <v>0.35</v>
      </c>
      <c r="J67" s="362">
        <f t="shared" si="28"/>
        <v>195</v>
      </c>
      <c r="K67" s="284"/>
      <c r="L67" s="359">
        <f t="shared" si="29"/>
        <v>0</v>
      </c>
      <c r="M67" s="285"/>
      <c r="N67" s="464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</row>
    <row r="68" spans="1:39" s="1" customFormat="1" ht="16.5" customHeight="1">
      <c r="A68" s="463" t="s">
        <v>1654</v>
      </c>
      <c r="B68" s="866"/>
      <c r="C68" s="867"/>
      <c r="D68" s="868"/>
      <c r="E68" s="363"/>
      <c r="F68" s="361">
        <v>1191</v>
      </c>
      <c r="G68" s="477">
        <v>77500</v>
      </c>
      <c r="H68" s="282"/>
      <c r="I68" s="283">
        <f t="shared" si="27"/>
        <v>0.35</v>
      </c>
      <c r="J68" s="362">
        <f t="shared" si="28"/>
        <v>774.15000000000009</v>
      </c>
      <c r="K68" s="284"/>
      <c r="L68" s="359">
        <f t="shared" si="29"/>
        <v>0</v>
      </c>
      <c r="M68" s="285"/>
      <c r="N68" s="464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</row>
    <row r="69" spans="1:39" s="1" customFormat="1" ht="16.5" customHeight="1">
      <c r="A69" s="463" t="s">
        <v>1655</v>
      </c>
      <c r="B69" s="866"/>
      <c r="C69" s="867"/>
      <c r="D69" s="868"/>
      <c r="E69" s="363"/>
      <c r="F69" s="361">
        <v>1742</v>
      </c>
      <c r="G69" s="477">
        <v>113300</v>
      </c>
      <c r="H69" s="282"/>
      <c r="I69" s="283">
        <f t="shared" si="27"/>
        <v>0.35</v>
      </c>
      <c r="J69" s="362">
        <f t="shared" si="28"/>
        <v>1132.3000000000002</v>
      </c>
      <c r="K69" s="284"/>
      <c r="L69" s="359">
        <f t="shared" si="29"/>
        <v>0</v>
      </c>
      <c r="M69" s="285"/>
      <c r="N69" s="464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</row>
    <row r="70" spans="1:39" s="1" customFormat="1" ht="16.5" customHeight="1">
      <c r="A70" s="463" t="s">
        <v>1656</v>
      </c>
      <c r="B70" s="866"/>
      <c r="C70" s="867"/>
      <c r="D70" s="868"/>
      <c r="E70" s="363"/>
      <c r="F70" s="361">
        <v>1191</v>
      </c>
      <c r="G70" s="477">
        <v>77500</v>
      </c>
      <c r="H70" s="282"/>
      <c r="I70" s="283">
        <f t="shared" si="27"/>
        <v>0.35</v>
      </c>
      <c r="J70" s="362">
        <f t="shared" si="28"/>
        <v>774.15000000000009</v>
      </c>
      <c r="K70" s="284"/>
      <c r="L70" s="359">
        <f t="shared" si="29"/>
        <v>0</v>
      </c>
      <c r="M70" s="285"/>
      <c r="N70" s="464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</row>
    <row r="71" spans="1:39" s="1" customFormat="1" ht="16.5" customHeight="1">
      <c r="A71" s="463" t="s">
        <v>1657</v>
      </c>
      <c r="B71" s="866"/>
      <c r="C71" s="867"/>
      <c r="D71" s="868"/>
      <c r="E71" s="363"/>
      <c r="F71" s="361">
        <v>1742</v>
      </c>
      <c r="G71" s="477">
        <v>113300</v>
      </c>
      <c r="H71" s="282"/>
      <c r="I71" s="283">
        <f t="shared" si="27"/>
        <v>0.35</v>
      </c>
      <c r="J71" s="362">
        <f t="shared" si="28"/>
        <v>1132.3000000000002</v>
      </c>
      <c r="K71" s="284"/>
      <c r="L71" s="359">
        <f t="shared" si="29"/>
        <v>0</v>
      </c>
      <c r="M71" s="285"/>
      <c r="N71" s="464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</row>
    <row r="72" spans="1:39" s="1" customFormat="1" ht="16.5" customHeight="1">
      <c r="A72" s="463" t="s">
        <v>1658</v>
      </c>
      <c r="B72" s="866"/>
      <c r="C72" s="867"/>
      <c r="D72" s="868"/>
      <c r="E72" s="363"/>
      <c r="F72" s="361">
        <v>715</v>
      </c>
      <c r="G72" s="477">
        <v>46500</v>
      </c>
      <c r="H72" s="282"/>
      <c r="I72" s="283">
        <f t="shared" si="27"/>
        <v>0.35</v>
      </c>
      <c r="J72" s="362">
        <f t="shared" si="28"/>
        <v>464.75</v>
      </c>
      <c r="K72" s="284"/>
      <c r="L72" s="359">
        <f t="shared" si="29"/>
        <v>0</v>
      </c>
      <c r="M72" s="285"/>
      <c r="N72" s="464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</row>
    <row r="73" spans="1:39" s="1" customFormat="1" ht="16.5" customHeight="1">
      <c r="A73" s="463" t="s">
        <v>1659</v>
      </c>
      <c r="B73" s="866"/>
      <c r="C73" s="867"/>
      <c r="D73" s="868"/>
      <c r="E73" s="363"/>
      <c r="F73" s="361">
        <v>710</v>
      </c>
      <c r="G73" s="477">
        <v>46200</v>
      </c>
      <c r="H73" s="282"/>
      <c r="I73" s="283">
        <f t="shared" si="27"/>
        <v>0.35</v>
      </c>
      <c r="J73" s="362">
        <f t="shared" si="28"/>
        <v>461.5</v>
      </c>
      <c r="K73" s="284"/>
      <c r="L73" s="359">
        <f t="shared" si="29"/>
        <v>0</v>
      </c>
      <c r="M73" s="285"/>
      <c r="N73" s="464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</row>
    <row r="74" spans="1:39" s="1" customFormat="1" ht="16.5" customHeight="1">
      <c r="A74" s="463" t="s">
        <v>448</v>
      </c>
      <c r="B74" s="866"/>
      <c r="C74" s="867"/>
      <c r="D74" s="868"/>
      <c r="E74" s="363"/>
      <c r="F74" s="361">
        <v>7272</v>
      </c>
      <c r="G74" s="477">
        <v>472700</v>
      </c>
      <c r="H74" s="282"/>
      <c r="I74" s="283">
        <f t="shared" si="27"/>
        <v>0.35</v>
      </c>
      <c r="J74" s="362">
        <f t="shared" si="28"/>
        <v>4726.8</v>
      </c>
      <c r="K74" s="284"/>
      <c r="L74" s="359">
        <f t="shared" si="29"/>
        <v>0</v>
      </c>
      <c r="M74" s="285"/>
      <c r="N74" s="464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</row>
    <row r="75" spans="1:39" s="1" customFormat="1" ht="16.5" customHeight="1">
      <c r="A75" s="463" t="s">
        <v>1649</v>
      </c>
      <c r="B75" s="866"/>
      <c r="C75" s="867"/>
      <c r="D75" s="868"/>
      <c r="E75" s="363"/>
      <c r="F75" s="361">
        <v>131</v>
      </c>
      <c r="G75" s="477">
        <v>8600</v>
      </c>
      <c r="H75" s="282"/>
      <c r="I75" s="283">
        <f t="shared" si="27"/>
        <v>0.35</v>
      </c>
      <c r="J75" s="362">
        <f t="shared" si="28"/>
        <v>85.15</v>
      </c>
      <c r="K75" s="284"/>
      <c r="L75" s="359">
        <f t="shared" si="29"/>
        <v>0</v>
      </c>
      <c r="M75" s="285"/>
      <c r="N75" s="464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</row>
    <row r="76" spans="1:39" s="1" customFormat="1" ht="16.5" customHeight="1">
      <c r="A76" s="463" t="s">
        <v>1660</v>
      </c>
      <c r="B76" s="866"/>
      <c r="C76" s="867"/>
      <c r="D76" s="868"/>
      <c r="E76" s="363"/>
      <c r="F76" s="361">
        <v>273</v>
      </c>
      <c r="G76" s="477">
        <v>17800</v>
      </c>
      <c r="H76" s="282"/>
      <c r="I76" s="283">
        <f t="shared" si="27"/>
        <v>0.35</v>
      </c>
      <c r="J76" s="362">
        <f t="shared" si="28"/>
        <v>177.45</v>
      </c>
      <c r="K76" s="284"/>
      <c r="L76" s="359">
        <f t="shared" si="29"/>
        <v>0</v>
      </c>
      <c r="M76" s="285"/>
      <c r="N76" s="464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</row>
    <row r="77" spans="1:39" s="1" customFormat="1" ht="16.5" customHeight="1">
      <c r="A77" s="463" t="s">
        <v>1661</v>
      </c>
      <c r="B77" s="866"/>
      <c r="C77" s="867"/>
      <c r="D77" s="868"/>
      <c r="E77" s="363"/>
      <c r="F77" s="361">
        <v>169</v>
      </c>
      <c r="G77" s="477">
        <v>11000</v>
      </c>
      <c r="H77" s="282"/>
      <c r="I77" s="283">
        <f t="shared" si="27"/>
        <v>0.35</v>
      </c>
      <c r="J77" s="362">
        <f t="shared" si="28"/>
        <v>109.85</v>
      </c>
      <c r="K77" s="284"/>
      <c r="L77" s="359">
        <f t="shared" si="29"/>
        <v>0</v>
      </c>
      <c r="M77" s="285"/>
      <c r="N77" s="464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</row>
    <row r="78" spans="1:39" s="1" customFormat="1" ht="16.5" customHeight="1">
      <c r="A78" s="463" t="s">
        <v>1662</v>
      </c>
      <c r="B78" s="866"/>
      <c r="C78" s="867"/>
      <c r="D78" s="868"/>
      <c r="E78" s="363"/>
      <c r="F78" s="361">
        <v>126</v>
      </c>
      <c r="G78" s="477">
        <v>8200</v>
      </c>
      <c r="H78" s="282"/>
      <c r="I78" s="283">
        <f t="shared" si="27"/>
        <v>0.35</v>
      </c>
      <c r="J78" s="362">
        <f t="shared" si="28"/>
        <v>81.900000000000006</v>
      </c>
      <c r="K78" s="284"/>
      <c r="L78" s="359">
        <f t="shared" si="29"/>
        <v>0</v>
      </c>
      <c r="M78" s="285"/>
      <c r="N78" s="464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</row>
    <row r="79" spans="1:39" s="1" customFormat="1" ht="16.5" customHeight="1">
      <c r="A79" s="463" t="s">
        <v>1663</v>
      </c>
      <c r="B79" s="866"/>
      <c r="C79" s="867"/>
      <c r="D79" s="868"/>
      <c r="E79" s="363"/>
      <c r="F79" s="361">
        <v>1248</v>
      </c>
      <c r="G79" s="477">
        <v>81200</v>
      </c>
      <c r="H79" s="282"/>
      <c r="I79" s="283">
        <f t="shared" si="27"/>
        <v>0.35</v>
      </c>
      <c r="J79" s="362">
        <f t="shared" si="28"/>
        <v>811.2</v>
      </c>
      <c r="K79" s="284"/>
      <c r="L79" s="359">
        <f t="shared" si="29"/>
        <v>0</v>
      </c>
      <c r="M79" s="285"/>
      <c r="N79" s="464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</row>
    <row r="80" spans="1:39" s="1" customFormat="1" ht="16.5" customHeight="1">
      <c r="A80" s="463" t="s">
        <v>1664</v>
      </c>
      <c r="B80" s="866"/>
      <c r="C80" s="867"/>
      <c r="D80" s="868"/>
      <c r="E80" s="363"/>
      <c r="F80" s="361">
        <v>1010</v>
      </c>
      <c r="G80" s="477">
        <v>65700</v>
      </c>
      <c r="H80" s="282"/>
      <c r="I80" s="283">
        <f t="shared" si="27"/>
        <v>0.35</v>
      </c>
      <c r="J80" s="362">
        <f t="shared" si="28"/>
        <v>656.5</v>
      </c>
      <c r="K80" s="284"/>
      <c r="L80" s="359">
        <f t="shared" si="29"/>
        <v>0</v>
      </c>
      <c r="M80" s="285"/>
      <c r="N80" s="464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</row>
    <row r="81" spans="1:39" s="1" customFormat="1" ht="16.5" customHeight="1">
      <c r="A81" s="463" t="s">
        <v>1264</v>
      </c>
      <c r="B81" s="866"/>
      <c r="C81" s="867"/>
      <c r="D81" s="868"/>
      <c r="E81" s="363"/>
      <c r="F81" s="361">
        <v>85</v>
      </c>
      <c r="G81" s="477">
        <v>5600</v>
      </c>
      <c r="H81" s="282"/>
      <c r="I81" s="283">
        <f t="shared" si="27"/>
        <v>0.35</v>
      </c>
      <c r="J81" s="362">
        <f t="shared" si="28"/>
        <v>55.25</v>
      </c>
      <c r="K81" s="284"/>
      <c r="L81" s="359">
        <f t="shared" si="29"/>
        <v>0</v>
      </c>
      <c r="M81" s="285"/>
      <c r="N81" s="464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</row>
    <row r="82" spans="1:39" s="1" customFormat="1" ht="16.5" customHeight="1">
      <c r="A82" s="463" t="s">
        <v>1433</v>
      </c>
      <c r="B82" s="866"/>
      <c r="C82" s="867"/>
      <c r="D82" s="868"/>
      <c r="E82" s="363"/>
      <c r="F82" s="361">
        <v>85</v>
      </c>
      <c r="G82" s="477">
        <v>5600</v>
      </c>
      <c r="H82" s="282"/>
      <c r="I82" s="283">
        <f t="shared" si="27"/>
        <v>0.35</v>
      </c>
      <c r="J82" s="362">
        <f t="shared" si="28"/>
        <v>55.25</v>
      </c>
      <c r="K82" s="284"/>
      <c r="L82" s="359">
        <f t="shared" si="29"/>
        <v>0</v>
      </c>
      <c r="M82" s="285"/>
      <c r="N82" s="464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</row>
    <row r="83" spans="1:39" s="1" customFormat="1" ht="16.5" customHeight="1">
      <c r="A83" s="463" t="s">
        <v>1665</v>
      </c>
      <c r="B83" s="866"/>
      <c r="C83" s="867"/>
      <c r="D83" s="868"/>
      <c r="E83" s="363"/>
      <c r="F83" s="361">
        <v>7272</v>
      </c>
      <c r="G83" s="477">
        <v>472700</v>
      </c>
      <c r="H83" s="282"/>
      <c r="I83" s="283">
        <f t="shared" si="27"/>
        <v>0.35</v>
      </c>
      <c r="J83" s="362">
        <f t="shared" si="28"/>
        <v>4726.8</v>
      </c>
      <c r="K83" s="284"/>
      <c r="L83" s="359">
        <f t="shared" si="29"/>
        <v>0</v>
      </c>
      <c r="M83" s="285"/>
      <c r="N83" s="464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</row>
    <row r="84" spans="1:39" s="1" customFormat="1" ht="16.5" customHeight="1">
      <c r="A84" s="463" t="s">
        <v>1666</v>
      </c>
      <c r="B84" s="866"/>
      <c r="C84" s="867"/>
      <c r="D84" s="868"/>
      <c r="E84" s="363"/>
      <c r="F84" s="361">
        <v>7272</v>
      </c>
      <c r="G84" s="477">
        <v>472700</v>
      </c>
      <c r="H84" s="282"/>
      <c r="I84" s="283">
        <f t="shared" si="27"/>
        <v>0.35</v>
      </c>
      <c r="J84" s="362">
        <f t="shared" si="28"/>
        <v>4726.8</v>
      </c>
      <c r="K84" s="284"/>
      <c r="L84" s="359">
        <f t="shared" si="29"/>
        <v>0</v>
      </c>
      <c r="M84" s="285"/>
      <c r="N84" s="464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</row>
    <row r="85" spans="1:39" s="1" customFormat="1" ht="16.5" customHeight="1">
      <c r="A85" s="463" t="s">
        <v>1667</v>
      </c>
      <c r="B85" s="866"/>
      <c r="C85" s="867"/>
      <c r="D85" s="868"/>
      <c r="E85" s="363"/>
      <c r="F85" s="361">
        <v>243</v>
      </c>
      <c r="G85" s="477">
        <v>15800</v>
      </c>
      <c r="H85" s="282"/>
      <c r="I85" s="283">
        <f t="shared" si="27"/>
        <v>0.35</v>
      </c>
      <c r="J85" s="362">
        <f t="shared" si="28"/>
        <v>157.94999999999999</v>
      </c>
      <c r="K85" s="284"/>
      <c r="L85" s="359">
        <f t="shared" si="29"/>
        <v>0</v>
      </c>
      <c r="M85" s="285"/>
      <c r="N85" s="464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</row>
    <row r="86" spans="1:39" s="1" customFormat="1" ht="16.5" customHeight="1">
      <c r="A86" s="463" t="s">
        <v>1648</v>
      </c>
      <c r="B86" s="866"/>
      <c r="C86" s="867"/>
      <c r="D86" s="868"/>
      <c r="E86" s="363"/>
      <c r="F86" s="361">
        <v>328</v>
      </c>
      <c r="G86" s="477">
        <v>21400</v>
      </c>
      <c r="H86" s="282"/>
      <c r="I86" s="283">
        <f t="shared" si="27"/>
        <v>0.35</v>
      </c>
      <c r="J86" s="362">
        <f t="shared" si="28"/>
        <v>213.2</v>
      </c>
      <c r="K86" s="284"/>
      <c r="L86" s="359">
        <f t="shared" si="29"/>
        <v>0</v>
      </c>
      <c r="M86" s="285"/>
      <c r="N86" s="464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</row>
    <row r="87" spans="1:39" s="1" customFormat="1" ht="16.5" customHeight="1">
      <c r="A87" s="463" t="s">
        <v>1668</v>
      </c>
      <c r="B87" s="866"/>
      <c r="C87" s="867"/>
      <c r="D87" s="868"/>
      <c r="E87" s="363"/>
      <c r="F87" s="361">
        <v>492</v>
      </c>
      <c r="G87" s="477">
        <v>32000</v>
      </c>
      <c r="H87" s="282"/>
      <c r="I87" s="283">
        <f t="shared" si="27"/>
        <v>0.35</v>
      </c>
      <c r="J87" s="362">
        <f t="shared" si="28"/>
        <v>319.8</v>
      </c>
      <c r="K87" s="284"/>
      <c r="L87" s="359">
        <f t="shared" si="29"/>
        <v>0</v>
      </c>
      <c r="M87" s="285"/>
      <c r="N87" s="464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</row>
    <row r="88" spans="1:39" s="1" customFormat="1" ht="16.5" customHeight="1">
      <c r="A88" s="463" t="s">
        <v>447</v>
      </c>
      <c r="B88" s="866"/>
      <c r="C88" s="867"/>
      <c r="D88" s="868"/>
      <c r="E88" s="363"/>
      <c r="F88" s="361">
        <v>164</v>
      </c>
      <c r="G88" s="477">
        <v>10700</v>
      </c>
      <c r="H88" s="282"/>
      <c r="I88" s="283">
        <f t="shared" si="27"/>
        <v>0.35</v>
      </c>
      <c r="J88" s="362">
        <f t="shared" si="28"/>
        <v>106.6</v>
      </c>
      <c r="K88" s="284"/>
      <c r="L88" s="359">
        <f t="shared" si="29"/>
        <v>0</v>
      </c>
      <c r="M88" s="285"/>
      <c r="N88" s="464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</row>
    <row r="89" spans="1:39" s="1" customFormat="1" ht="16.5" customHeight="1">
      <c r="A89" s="463" t="s">
        <v>1669</v>
      </c>
      <c r="B89" s="866"/>
      <c r="C89" s="867"/>
      <c r="D89" s="868"/>
      <c r="E89" s="363"/>
      <c r="F89" s="361">
        <v>199</v>
      </c>
      <c r="G89" s="477">
        <v>13000</v>
      </c>
      <c r="H89" s="282"/>
      <c r="I89" s="283">
        <f t="shared" si="27"/>
        <v>0.35</v>
      </c>
      <c r="J89" s="362">
        <f t="shared" si="28"/>
        <v>129.35000000000002</v>
      </c>
      <c r="K89" s="284"/>
      <c r="L89" s="359">
        <f t="shared" si="29"/>
        <v>0</v>
      </c>
      <c r="M89" s="285"/>
      <c r="N89" s="464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</row>
    <row r="90" spans="1:39" s="1" customFormat="1" ht="16.5" customHeight="1">
      <c r="A90" s="463" t="s">
        <v>1670</v>
      </c>
      <c r="B90" s="866"/>
      <c r="C90" s="867"/>
      <c r="D90" s="868"/>
      <c r="E90" s="363"/>
      <c r="F90" s="361">
        <v>158</v>
      </c>
      <c r="G90" s="477">
        <v>10300</v>
      </c>
      <c r="H90" s="282"/>
      <c r="I90" s="283">
        <f t="shared" si="27"/>
        <v>0.35</v>
      </c>
      <c r="J90" s="362">
        <f t="shared" si="28"/>
        <v>102.7</v>
      </c>
      <c r="K90" s="284"/>
      <c r="L90" s="359">
        <f t="shared" si="29"/>
        <v>0</v>
      </c>
      <c r="M90" s="285"/>
      <c r="N90" s="464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</row>
    <row r="91" spans="1:39" s="1" customFormat="1" ht="16.5" customHeight="1">
      <c r="A91" s="463" t="s">
        <v>1671</v>
      </c>
      <c r="B91" s="866"/>
      <c r="C91" s="867"/>
      <c r="D91" s="868"/>
      <c r="E91" s="363"/>
      <c r="F91" s="361">
        <v>134</v>
      </c>
      <c r="G91" s="477">
        <v>8800</v>
      </c>
      <c r="H91" s="282"/>
      <c r="I91" s="283">
        <f t="shared" si="27"/>
        <v>0.35</v>
      </c>
      <c r="J91" s="362">
        <f t="shared" si="28"/>
        <v>87.1</v>
      </c>
      <c r="K91" s="284"/>
      <c r="L91" s="359">
        <f t="shared" si="29"/>
        <v>0</v>
      </c>
      <c r="M91" s="285"/>
      <c r="N91" s="464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</row>
    <row r="92" spans="1:39" s="1" customFormat="1" ht="16.5" customHeight="1">
      <c r="A92" s="463" t="s">
        <v>1672</v>
      </c>
      <c r="B92" s="866"/>
      <c r="C92" s="867"/>
      <c r="D92" s="868"/>
      <c r="E92" s="363"/>
      <c r="F92" s="361">
        <v>655</v>
      </c>
      <c r="G92" s="477">
        <v>42600</v>
      </c>
      <c r="H92" s="282"/>
      <c r="I92" s="283">
        <f t="shared" si="27"/>
        <v>0.35</v>
      </c>
      <c r="J92" s="362">
        <f t="shared" si="28"/>
        <v>425.75</v>
      </c>
      <c r="K92" s="284"/>
      <c r="L92" s="359">
        <f t="shared" si="29"/>
        <v>0</v>
      </c>
      <c r="M92" s="285"/>
      <c r="N92" s="464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</row>
    <row r="93" spans="1:39" s="1" customFormat="1" ht="16.5" customHeight="1">
      <c r="A93" s="463" t="s">
        <v>1673</v>
      </c>
      <c r="B93" s="866"/>
      <c r="C93" s="867"/>
      <c r="D93" s="868"/>
      <c r="E93" s="363"/>
      <c r="F93" s="361">
        <v>1341</v>
      </c>
      <c r="G93" s="477">
        <v>87200</v>
      </c>
      <c r="H93" s="282"/>
      <c r="I93" s="283">
        <f t="shared" si="27"/>
        <v>0.35</v>
      </c>
      <c r="J93" s="362">
        <f t="shared" si="28"/>
        <v>871.65000000000009</v>
      </c>
      <c r="K93" s="284"/>
      <c r="L93" s="359">
        <f t="shared" si="29"/>
        <v>0</v>
      </c>
      <c r="M93" s="285"/>
      <c r="N93" s="464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</row>
    <row r="94" spans="1:39" s="1" customFormat="1" ht="16.5" customHeight="1">
      <c r="A94" s="463" t="s">
        <v>1674</v>
      </c>
      <c r="B94" s="866"/>
      <c r="C94" s="867"/>
      <c r="D94" s="868"/>
      <c r="E94" s="363"/>
      <c r="F94" s="361">
        <v>407</v>
      </c>
      <c r="G94" s="477">
        <v>26500</v>
      </c>
      <c r="H94" s="282"/>
      <c r="I94" s="283">
        <f t="shared" si="27"/>
        <v>0.35</v>
      </c>
      <c r="J94" s="362">
        <f t="shared" si="28"/>
        <v>264.55</v>
      </c>
      <c r="K94" s="284"/>
      <c r="L94" s="359">
        <f t="shared" si="29"/>
        <v>0</v>
      </c>
      <c r="M94" s="285"/>
      <c r="N94" s="464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</row>
    <row r="95" spans="1:39" s="1" customFormat="1" ht="16.5" customHeight="1">
      <c r="A95" s="463" t="s">
        <v>1646</v>
      </c>
      <c r="B95" s="866"/>
      <c r="C95" s="867"/>
      <c r="D95" s="868"/>
      <c r="E95" s="363"/>
      <c r="F95" s="361">
        <v>448</v>
      </c>
      <c r="G95" s="477">
        <v>29200</v>
      </c>
      <c r="H95" s="282"/>
      <c r="I95" s="283">
        <f t="shared" si="27"/>
        <v>0.35</v>
      </c>
      <c r="J95" s="362">
        <f t="shared" si="28"/>
        <v>291.20000000000005</v>
      </c>
      <c r="K95" s="284"/>
      <c r="L95" s="359">
        <f t="shared" si="29"/>
        <v>0</v>
      </c>
      <c r="M95" s="285"/>
      <c r="N95" s="464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</row>
    <row r="96" spans="1:39" s="1" customFormat="1" ht="16.5" customHeight="1">
      <c r="A96" s="463" t="s">
        <v>1647</v>
      </c>
      <c r="B96" s="866"/>
      <c r="C96" s="867"/>
      <c r="D96" s="868"/>
      <c r="E96" s="363"/>
      <c r="F96" s="361">
        <v>224</v>
      </c>
      <c r="G96" s="477">
        <v>14600</v>
      </c>
      <c r="H96" s="282"/>
      <c r="I96" s="283">
        <f t="shared" si="27"/>
        <v>0.35</v>
      </c>
      <c r="J96" s="362">
        <f t="shared" si="28"/>
        <v>145.60000000000002</v>
      </c>
      <c r="K96" s="284"/>
      <c r="L96" s="359">
        <f t="shared" si="29"/>
        <v>0</v>
      </c>
      <c r="M96" s="285"/>
      <c r="N96" s="464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</row>
    <row r="97" spans="1:57" s="30" customFormat="1" ht="13.5" customHeight="1">
      <c r="A97" s="404"/>
      <c r="B97" s="195"/>
      <c r="C97" s="195"/>
      <c r="D97" s="195"/>
      <c r="E97" s="196"/>
      <c r="F97" s="197"/>
      <c r="G97" s="197"/>
      <c r="H97" s="197"/>
      <c r="I97" s="197"/>
      <c r="J97" s="197"/>
      <c r="K97" s="96"/>
      <c r="L97" s="198"/>
      <c r="M97" s="199"/>
      <c r="N97" s="465"/>
      <c r="O97" s="92"/>
      <c r="P97" s="92"/>
      <c r="Q97" s="92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</row>
    <row r="98" spans="1:57" s="82" customFormat="1" ht="15" customHeight="1">
      <c r="A98" s="519" t="s">
        <v>535</v>
      </c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104"/>
      <c r="P98" s="105"/>
      <c r="Q98" s="105"/>
      <c r="R98" s="105"/>
      <c r="S98" s="105"/>
      <c r="T98" s="106"/>
      <c r="U98" s="106"/>
      <c r="V98" s="106"/>
      <c r="W98" s="107"/>
      <c r="X98" s="108"/>
      <c r="Y98" s="109"/>
      <c r="Z98" s="110"/>
      <c r="AA98" s="111"/>
      <c r="AB98" s="366"/>
      <c r="AC98" s="107"/>
      <c r="AD98" s="384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</row>
    <row r="99" spans="1:57" s="82" customFormat="1" ht="12.5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1" t="s">
        <v>817</v>
      </c>
      <c r="O99" s="487"/>
      <c r="P99" s="487"/>
      <c r="Q99" s="487"/>
      <c r="R99" s="487"/>
      <c r="S99" s="487"/>
      <c r="T99" s="487"/>
      <c r="U99" s="487"/>
      <c r="V99" s="487"/>
      <c r="W99" s="487"/>
      <c r="X99" s="487"/>
      <c r="Y99" s="487"/>
      <c r="Z99" s="487"/>
      <c r="AA99" s="487"/>
      <c r="AB99" s="487"/>
      <c r="AC99" s="487"/>
      <c r="AD99" s="488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</row>
    <row r="100" spans="1:57" s="82" customFormat="1" ht="12.5">
      <c r="A100" s="520"/>
      <c r="B100" s="520"/>
      <c r="C100" s="520"/>
      <c r="D100" s="520"/>
      <c r="E100" s="520"/>
      <c r="F100" s="520"/>
      <c r="G100" s="520"/>
      <c r="H100" s="520"/>
      <c r="I100" s="520"/>
      <c r="J100" s="520"/>
      <c r="K100" s="520"/>
      <c r="L100" s="520"/>
      <c r="M100" s="874"/>
      <c r="N100" s="874"/>
      <c r="O100" s="485"/>
      <c r="P100" s="485"/>
      <c r="Q100" s="485"/>
      <c r="R100" s="485"/>
      <c r="S100" s="485"/>
      <c r="T100" s="485"/>
      <c r="U100" s="485"/>
      <c r="V100" s="485"/>
      <c r="W100" s="485"/>
      <c r="X100" s="485"/>
      <c r="Y100" s="485"/>
      <c r="Z100" s="485"/>
      <c r="AA100" s="485"/>
      <c r="AB100" s="485"/>
      <c r="AC100" s="485"/>
      <c r="AD100" s="486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</row>
    <row r="101" spans="1:57" s="82" customFormat="1" ht="12.5">
      <c r="A101" s="520"/>
      <c r="B101" s="520"/>
      <c r="C101" s="520"/>
      <c r="D101" s="520"/>
      <c r="E101" s="520"/>
      <c r="F101" s="520"/>
      <c r="G101" s="520"/>
      <c r="H101" s="520"/>
      <c r="I101" s="520"/>
      <c r="J101" s="520"/>
      <c r="K101" s="520"/>
      <c r="L101" s="520"/>
      <c r="M101" s="520"/>
      <c r="N101" s="522" t="s">
        <v>816</v>
      </c>
      <c r="O101" s="483"/>
      <c r="P101" s="483"/>
      <c r="Q101" s="483"/>
      <c r="R101" s="483"/>
      <c r="S101" s="483"/>
      <c r="T101" s="483"/>
      <c r="U101" s="483"/>
      <c r="V101" s="483"/>
      <c r="W101" s="483"/>
      <c r="X101" s="483"/>
      <c r="Y101" s="483"/>
      <c r="Z101" s="483"/>
      <c r="AA101" s="483"/>
      <c r="AB101" s="483"/>
      <c r="AC101" s="483"/>
      <c r="AD101" s="484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</row>
    <row r="102" spans="1:57" s="82" customFormat="1" ht="12.5">
      <c r="A102" s="520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3" t="s">
        <v>548</v>
      </c>
      <c r="O102" s="481"/>
      <c r="P102" s="481"/>
      <c r="Q102" s="481"/>
      <c r="R102" s="481"/>
      <c r="S102" s="481"/>
      <c r="T102" s="481"/>
      <c r="U102" s="481"/>
      <c r="V102" s="481"/>
      <c r="W102" s="481"/>
      <c r="X102" s="481"/>
      <c r="Y102" s="481"/>
      <c r="Z102" s="481"/>
      <c r="AA102" s="481"/>
      <c r="AB102" s="481"/>
      <c r="AC102" s="481"/>
      <c r="AD102" s="482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</row>
    <row r="103" spans="1:57" s="82" customFormat="1" ht="12.5">
      <c r="A103" s="520"/>
      <c r="B103" s="520"/>
      <c r="C103" s="520"/>
      <c r="D103" s="520"/>
      <c r="E103" s="520"/>
      <c r="F103" s="520"/>
      <c r="G103" s="520"/>
      <c r="H103" s="520"/>
      <c r="I103" s="520"/>
      <c r="J103" s="520"/>
      <c r="K103" s="520"/>
      <c r="L103" s="520"/>
      <c r="M103" s="520"/>
      <c r="N103" s="523" t="s">
        <v>819</v>
      </c>
      <c r="O103" s="481"/>
      <c r="P103" s="481"/>
      <c r="Q103" s="481"/>
      <c r="R103" s="481"/>
      <c r="S103" s="481"/>
      <c r="T103" s="481"/>
      <c r="U103" s="481"/>
      <c r="V103" s="481"/>
      <c r="W103" s="481"/>
      <c r="X103" s="481"/>
      <c r="Y103" s="481"/>
      <c r="Z103" s="481"/>
      <c r="AA103" s="481"/>
      <c r="AB103" s="481"/>
      <c r="AC103" s="481"/>
      <c r="AD103" s="482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</row>
    <row r="104" spans="1:57" s="82" customFormat="1" thickBot="1">
      <c r="A104" s="520"/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4" t="s">
        <v>563</v>
      </c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479"/>
      <c r="Z104" s="479"/>
      <c r="AA104" s="479"/>
      <c r="AB104" s="479"/>
      <c r="AC104" s="479"/>
      <c r="AD104" s="480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</row>
    <row r="105" spans="1:57" s="32" customFormat="1" ht="20.2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55"/>
      <c r="P105" s="55"/>
      <c r="Q105" s="55"/>
    </row>
    <row r="106" spans="1:57" s="32" customFormat="1" ht="20.2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55"/>
      <c r="P106" s="55"/>
      <c r="Q106" s="55"/>
    </row>
    <row r="107" spans="1:57" s="32" customFormat="1" ht="23.2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</row>
    <row r="108" spans="1:57" s="32" customFormat="1" ht="17.2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</row>
    <row r="109" spans="1:57" s="32" customFormat="1" ht="12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</row>
    <row r="110" spans="1:57" s="32" customFormat="1" ht="21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</row>
    <row r="111" spans="1:57" s="32" customForma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</row>
    <row r="112" spans="1:57" s="32" customForma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</row>
    <row r="113" spans="1:14" s="32" customForma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</row>
    <row r="114" spans="1:14" s="32" customForma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</row>
    <row r="115" spans="1:14" s="32" customForma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</row>
    <row r="116" spans="1:14" s="32" customForma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</row>
    <row r="117" spans="1:14" s="32" customForma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</row>
    <row r="118" spans="1:14" s="32" customForma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</row>
    <row r="119" spans="1:14" s="32" customForma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</row>
    <row r="120" spans="1:14" s="32" customForma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</row>
    <row r="121" spans="1:14" s="32" customForma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</row>
    <row r="122" spans="1:14" s="32" customForma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</row>
    <row r="123" spans="1:14" s="32" customForma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</row>
    <row r="124" spans="1:14" s="32" customForma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</row>
    <row r="125" spans="1:14" s="32" customForma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</row>
    <row r="126" spans="1:14" s="32" customForma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</row>
    <row r="127" spans="1:14" s="32" customForma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</row>
    <row r="128" spans="1:14" s="32" customForma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</row>
    <row r="129" spans="1:14" s="32" customForma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</row>
    <row r="130" spans="1:14" s="32" customForma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</row>
    <row r="131" spans="1:14" s="32" customForma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</row>
    <row r="132" spans="1:14" s="32" customForma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</row>
    <row r="133" spans="1:14" s="32" customForma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</row>
    <row r="134" spans="1:14" s="32" customForma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</row>
    <row r="135" spans="1:14" s="32" customForma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</row>
    <row r="136" spans="1:14" s="32" customForma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</row>
    <row r="137" spans="1:14" s="32" customForma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</row>
    <row r="138" spans="1:14" s="32" customForma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</row>
    <row r="139" spans="1:14" s="32" customForma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</row>
    <row r="140" spans="1:14" s="32" customForma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</row>
    <row r="141" spans="1:14" s="32" customForma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</row>
    <row r="142" spans="1:14" s="32" customForma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</row>
    <row r="143" spans="1:14" s="32" customForma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</row>
    <row r="144" spans="1:14" s="32" customForma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</row>
    <row r="145" spans="1:14" s="32" customForma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</row>
    <row r="146" spans="1:14" s="32" customForma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</row>
    <row r="147" spans="1:14" s="32" customForma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</row>
    <row r="148" spans="1:14" s="32" customForma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</row>
    <row r="149" spans="1:14" s="32" customForma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</row>
    <row r="150" spans="1:14" s="32" customForma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</row>
    <row r="151" spans="1:14" s="32" customForma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</row>
    <row r="152" spans="1:14" s="32" customForma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</row>
    <row r="153" spans="1:14" s="32" customForma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</row>
    <row r="154" spans="1:14" s="32" customForma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</row>
    <row r="155" spans="1:14" s="32" customForma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</row>
    <row r="156" spans="1:14" s="32" customForma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</row>
    <row r="157" spans="1:14" s="32" customForma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</row>
    <row r="158" spans="1:14" s="32" customForma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</row>
    <row r="159" spans="1:14" s="32" customForma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</row>
    <row r="160" spans="1:14" s="32" customForma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</row>
    <row r="161" spans="1:14" s="32" customForma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</row>
    <row r="162" spans="1:14" s="32" customForma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</row>
    <row r="163" spans="1:14" s="32" customForma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</row>
    <row r="164" spans="1:14" s="32" customForma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</row>
    <row r="165" spans="1:14" s="32" customForma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</row>
    <row r="166" spans="1:14" s="32" customForma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</row>
    <row r="167" spans="1:14" s="32" customForma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</row>
    <row r="168" spans="1:14" s="32" customForma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</row>
    <row r="169" spans="1:14" s="32" customForma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</row>
    <row r="170" spans="1:14" s="32" customForma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</row>
    <row r="171" spans="1:14" s="32" customForma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</row>
    <row r="172" spans="1:14" s="32" customForma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</row>
    <row r="173" spans="1:14" s="32" customForma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</row>
    <row r="174" spans="1:14" s="32" customForma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</row>
    <row r="175" spans="1:14" s="32" customForma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</row>
    <row r="176" spans="1:14" s="32" customForma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</row>
    <row r="177" spans="1:14" s="32" customForma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</row>
    <row r="178" spans="1:14" s="32" customForma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</row>
  </sheetData>
  <customSheetViews>
    <customSheetView guid="{FA833650-9147-48FF-9246-B3943D91CD8D}" scale="70" showPageBreaks="1" printArea="1" hiddenRows="1" hiddenColumns="1" view="pageBreakPreview">
      <pane ySplit="8" topLeftCell="A65" activePane="bottomLeft" state="frozen"/>
      <selection pane="bottomLeft" activeCell="R82" sqref="R82"/>
      <pageMargins left="0.35433070866141736" right="0.35433070866141736" top="0.39370078740157483" bottom="0.39370078740157483" header="0.51181102362204722" footer="0.51181102362204722"/>
      <pageSetup paperSize="9" scale="48" fitToHeight="10" orientation="portrait" r:id="rId1"/>
      <headerFooter alignWithMargins="0"/>
    </customSheetView>
  </customSheetViews>
  <mergeCells count="187">
    <mergeCell ref="M100:N100"/>
    <mergeCell ref="B96:D96"/>
    <mergeCell ref="B87:D87"/>
    <mergeCell ref="B88:D88"/>
    <mergeCell ref="B89:D89"/>
    <mergeCell ref="B90:D90"/>
    <mergeCell ref="B91:D91"/>
    <mergeCell ref="B92:D92"/>
    <mergeCell ref="B93:D93"/>
    <mergeCell ref="B94:D94"/>
    <mergeCell ref="B95:D95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I2:N2"/>
    <mergeCell ref="J23:J24"/>
    <mergeCell ref="G6:G8"/>
    <mergeCell ref="I3:J3"/>
    <mergeCell ref="L3:M3"/>
    <mergeCell ref="A4:N4"/>
    <mergeCell ref="A25:A26"/>
    <mergeCell ref="C25:C26"/>
    <mergeCell ref="D25:D26"/>
    <mergeCell ref="J25:J26"/>
    <mergeCell ref="A21:A22"/>
    <mergeCell ref="C21:C22"/>
    <mergeCell ref="D21:D22"/>
    <mergeCell ref="E21:E22"/>
    <mergeCell ref="J21:J22"/>
    <mergeCell ref="C19:C20"/>
    <mergeCell ref="D19:D20"/>
    <mergeCell ref="L6:L8"/>
    <mergeCell ref="D9:D10"/>
    <mergeCell ref="E9:E10"/>
    <mergeCell ref="A6:A8"/>
    <mergeCell ref="C7:C8"/>
    <mergeCell ref="D7:D8"/>
    <mergeCell ref="B6:B8"/>
    <mergeCell ref="A43:A44"/>
    <mergeCell ref="J45:J46"/>
    <mergeCell ref="C43:C44"/>
    <mergeCell ref="G43:G44"/>
    <mergeCell ref="E35:E36"/>
    <mergeCell ref="C37:C38"/>
    <mergeCell ref="C31:C32"/>
    <mergeCell ref="D33:D34"/>
    <mergeCell ref="G31:G32"/>
    <mergeCell ref="G33:G34"/>
    <mergeCell ref="D37:D38"/>
    <mergeCell ref="D35:D36"/>
    <mergeCell ref="E37:E38"/>
    <mergeCell ref="J37:J38"/>
    <mergeCell ref="E41:E42"/>
    <mergeCell ref="G35:G36"/>
    <mergeCell ref="G37:G38"/>
    <mergeCell ref="G39:G40"/>
    <mergeCell ref="G41:G42"/>
    <mergeCell ref="E39:E40"/>
    <mergeCell ref="J39:J40"/>
    <mergeCell ref="J35:J36"/>
    <mergeCell ref="J33:J34"/>
    <mergeCell ref="E33:E34"/>
    <mergeCell ref="B57:D57"/>
    <mergeCell ref="B58:D58"/>
    <mergeCell ref="B59:D59"/>
    <mergeCell ref="A37:A38"/>
    <mergeCell ref="D45:D46"/>
    <mergeCell ref="E45:E46"/>
    <mergeCell ref="A47:A48"/>
    <mergeCell ref="C47:C48"/>
    <mergeCell ref="D47:D48"/>
    <mergeCell ref="E47:E48"/>
    <mergeCell ref="D43:D44"/>
    <mergeCell ref="E43:E44"/>
    <mergeCell ref="B53:D53"/>
    <mergeCell ref="B54:D54"/>
    <mergeCell ref="B55:D55"/>
    <mergeCell ref="B56:D56"/>
    <mergeCell ref="D39:D40"/>
    <mergeCell ref="A45:A46"/>
    <mergeCell ref="C45:C46"/>
    <mergeCell ref="A39:A40"/>
    <mergeCell ref="A41:A42"/>
    <mergeCell ref="C41:C42"/>
    <mergeCell ref="D41:D42"/>
    <mergeCell ref="C39:C40"/>
    <mergeCell ref="J41:J42"/>
    <mergeCell ref="J43:J44"/>
    <mergeCell ref="B52:E52"/>
    <mergeCell ref="G47:G48"/>
    <mergeCell ref="A51:N51"/>
    <mergeCell ref="B49:E49"/>
    <mergeCell ref="E31:E32"/>
    <mergeCell ref="E19:E20"/>
    <mergeCell ref="A17:A18"/>
    <mergeCell ref="C17:C18"/>
    <mergeCell ref="D17:D18"/>
    <mergeCell ref="C29:C30"/>
    <mergeCell ref="J47:J48"/>
    <mergeCell ref="G45:G46"/>
    <mergeCell ref="G29:G30"/>
    <mergeCell ref="J29:J30"/>
    <mergeCell ref="A31:A32"/>
    <mergeCell ref="J31:J32"/>
    <mergeCell ref="C33:C34"/>
    <mergeCell ref="E29:E30"/>
    <mergeCell ref="A33:A34"/>
    <mergeCell ref="D31:D32"/>
    <mergeCell ref="A35:A36"/>
    <mergeCell ref="C35:C36"/>
    <mergeCell ref="A27:A28"/>
    <mergeCell ref="C27:C28"/>
    <mergeCell ref="D27:D28"/>
    <mergeCell ref="E27:E28"/>
    <mergeCell ref="A23:A24"/>
    <mergeCell ref="G19:G20"/>
    <mergeCell ref="G21:G22"/>
    <mergeCell ref="G23:G24"/>
    <mergeCell ref="C23:C24"/>
    <mergeCell ref="F6:F8"/>
    <mergeCell ref="H6:H8"/>
    <mergeCell ref="I6:I8"/>
    <mergeCell ref="A13:A14"/>
    <mergeCell ref="C13:C14"/>
    <mergeCell ref="E15:E16"/>
    <mergeCell ref="J9:J10"/>
    <mergeCell ref="C9:C10"/>
    <mergeCell ref="J6:J8"/>
    <mergeCell ref="C6:D6"/>
    <mergeCell ref="E6:E8"/>
    <mergeCell ref="J15:J16"/>
    <mergeCell ref="A15:A16"/>
    <mergeCell ref="J13:J14"/>
    <mergeCell ref="C11:C12"/>
    <mergeCell ref="D11:D12"/>
    <mergeCell ref="C15:C16"/>
    <mergeCell ref="E13:E14"/>
    <mergeCell ref="E11:E12"/>
    <mergeCell ref="J11:J12"/>
    <mergeCell ref="N6:N8"/>
    <mergeCell ref="A29:A30"/>
    <mergeCell ref="D29:D30"/>
    <mergeCell ref="A9:A10"/>
    <mergeCell ref="G9:G10"/>
    <mergeCell ref="G11:G12"/>
    <mergeCell ref="G13:G14"/>
    <mergeCell ref="M6:M8"/>
    <mergeCell ref="D23:D24"/>
    <mergeCell ref="E23:E24"/>
    <mergeCell ref="E25:E26"/>
    <mergeCell ref="G25:G26"/>
    <mergeCell ref="G27:G28"/>
    <mergeCell ref="J27:J28"/>
    <mergeCell ref="A11:A12"/>
    <mergeCell ref="D15:D16"/>
    <mergeCell ref="D13:D14"/>
    <mergeCell ref="G15:G16"/>
    <mergeCell ref="G17:G18"/>
    <mergeCell ref="K6:K8"/>
    <mergeCell ref="J19:J20"/>
    <mergeCell ref="J17:J18"/>
    <mergeCell ref="A19:A20"/>
    <mergeCell ref="E17:E18"/>
  </mergeCells>
  <hyperlinks>
    <hyperlink ref="N99" r:id="rId2"/>
  </hyperlinks>
  <pageMargins left="0.35433070866141736" right="0.35433070866141736" top="0.39370078740157483" bottom="0.39370078740157483" header="0.51181102362204722" footer="0.51181102362204722"/>
  <pageSetup paperSize="9" scale="48" fitToHeight="10" orientation="portrait" r:id="rId3"/>
  <headerFooter alignWithMargins="0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46"/>
  <sheetViews>
    <sheetView zoomScaleNormal="100" zoomScaleSheetLayoutView="110" workbookViewId="0"/>
  </sheetViews>
  <sheetFormatPr defaultRowHeight="12.5"/>
  <cols>
    <col min="1" max="1" width="62" customWidth="1"/>
    <col min="4" max="4" width="28.90625" customWidth="1"/>
    <col min="5" max="5" width="4.6328125" style="32" customWidth="1"/>
    <col min="6" max="32" width="9.08984375" style="32" customWidth="1"/>
  </cols>
  <sheetData>
    <row r="1" spans="1:45" s="7" customFormat="1" ht="53.25" customHeight="1">
      <c r="A1" s="200"/>
      <c r="B1" s="201"/>
      <c r="C1" s="202"/>
      <c r="D1" s="201"/>
      <c r="E1" s="203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</row>
    <row r="2" spans="1:45" ht="19.5" customHeight="1">
      <c r="A2" s="292"/>
      <c r="B2" s="292"/>
      <c r="C2" s="293"/>
      <c r="D2" s="292"/>
      <c r="E2" s="292"/>
      <c r="AG2" s="32"/>
    </row>
    <row r="3" spans="1:45" ht="20.25" customHeight="1">
      <c r="A3" s="876" t="s">
        <v>525</v>
      </c>
      <c r="B3" s="877"/>
      <c r="C3" s="877"/>
      <c r="D3" s="877"/>
      <c r="E3" s="305"/>
      <c r="AG3" s="32"/>
    </row>
    <row r="4" spans="1:45" s="22" customFormat="1" ht="27.75" customHeight="1">
      <c r="A4" s="878" t="s">
        <v>1073</v>
      </c>
      <c r="B4" s="878"/>
      <c r="C4" s="878"/>
      <c r="D4" s="878"/>
      <c r="E4" s="306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</row>
    <row r="5" spans="1:45" ht="13.75" customHeight="1">
      <c r="A5" s="880" t="s">
        <v>534</v>
      </c>
      <c r="B5" s="880"/>
      <c r="C5" s="880"/>
      <c r="D5" s="880"/>
      <c r="E5" s="298"/>
      <c r="AG5" s="32"/>
    </row>
    <row r="6" spans="1:45" ht="21" customHeight="1">
      <c r="A6" s="880"/>
      <c r="B6" s="880"/>
      <c r="C6" s="880"/>
      <c r="D6" s="880"/>
      <c r="E6" s="298"/>
      <c r="AG6" s="32"/>
    </row>
    <row r="7" spans="1:45" ht="21">
      <c r="A7" s="879" t="s">
        <v>526</v>
      </c>
      <c r="B7" s="879"/>
      <c r="C7" s="879"/>
      <c r="D7" s="879"/>
      <c r="E7" s="307"/>
      <c r="AG7" s="32"/>
    </row>
    <row r="8" spans="1:45" ht="15.65" customHeight="1">
      <c r="A8" s="878" t="s">
        <v>527</v>
      </c>
      <c r="B8" s="878"/>
      <c r="C8" s="878"/>
      <c r="D8" s="878"/>
      <c r="E8" s="306"/>
      <c r="AG8" s="32"/>
    </row>
    <row r="9" spans="1:45" ht="15.65" customHeight="1">
      <c r="A9" s="299" t="s">
        <v>457</v>
      </c>
      <c r="B9" s="300"/>
      <c r="C9" s="300"/>
      <c r="D9" s="300"/>
      <c r="E9" s="300"/>
      <c r="AG9" s="32"/>
    </row>
    <row r="10" spans="1:45" ht="15.65" customHeight="1">
      <c r="A10" s="300" t="s">
        <v>458</v>
      </c>
      <c r="B10" s="300"/>
      <c r="C10" s="300"/>
      <c r="D10" s="300"/>
      <c r="E10" s="300"/>
      <c r="AG10" s="32"/>
    </row>
    <row r="11" spans="1:45" ht="15.65" customHeight="1">
      <c r="A11" s="300" t="s">
        <v>770</v>
      </c>
      <c r="B11" s="300"/>
      <c r="C11" s="300"/>
      <c r="D11" s="300"/>
      <c r="E11" s="300"/>
      <c r="AG11" s="32"/>
    </row>
    <row r="12" spans="1:45" ht="15.65" customHeight="1">
      <c r="A12" s="300" t="s">
        <v>771</v>
      </c>
      <c r="B12" s="300"/>
      <c r="C12" s="300"/>
      <c r="D12" s="300"/>
      <c r="E12" s="300"/>
      <c r="AG12" s="32"/>
    </row>
    <row r="13" spans="1:45" ht="15.65" customHeight="1">
      <c r="A13" s="300" t="s">
        <v>772</v>
      </c>
      <c r="B13" s="300"/>
      <c r="C13" s="300"/>
      <c r="D13" s="300"/>
      <c r="E13" s="300"/>
      <c r="AG13" s="32"/>
    </row>
    <row r="14" spans="1:45" ht="15.65" customHeight="1">
      <c r="A14" s="300" t="s">
        <v>459</v>
      </c>
      <c r="B14" s="300"/>
      <c r="C14" s="300"/>
      <c r="D14" s="300"/>
      <c r="E14" s="300"/>
      <c r="AG14" s="32"/>
    </row>
    <row r="15" spans="1:45" ht="15.65" customHeight="1">
      <c r="A15" s="315" t="s">
        <v>773</v>
      </c>
      <c r="B15" s="300"/>
      <c r="C15" s="300"/>
      <c r="D15" s="300"/>
      <c r="E15" s="300"/>
      <c r="AG15" s="32"/>
    </row>
    <row r="16" spans="1:45" ht="29.25" customHeight="1">
      <c r="A16" s="301"/>
      <c r="B16" s="300"/>
      <c r="C16" s="300"/>
      <c r="D16" s="300"/>
      <c r="E16" s="300"/>
      <c r="AG16" s="32"/>
    </row>
    <row r="17" spans="1:33" ht="40.5" customHeight="1">
      <c r="A17" s="875" t="s">
        <v>528</v>
      </c>
      <c r="B17" s="875"/>
      <c r="C17" s="875"/>
      <c r="D17" s="875"/>
      <c r="E17" s="308"/>
      <c r="AG17" s="32"/>
    </row>
    <row r="18" spans="1:33" ht="14">
      <c r="A18" s="302" t="s">
        <v>460</v>
      </c>
      <c r="B18" s="302"/>
      <c r="C18" s="302"/>
      <c r="D18" s="302"/>
      <c r="E18" s="302"/>
      <c r="G18" s="41"/>
      <c r="H18" s="41"/>
      <c r="I18" s="41"/>
      <c r="J18" s="41"/>
      <c r="AG18" s="32"/>
    </row>
    <row r="19" spans="1:33" s="33" customFormat="1" ht="15" customHeight="1">
      <c r="A19" s="302" t="s">
        <v>461</v>
      </c>
      <c r="B19" s="302"/>
      <c r="C19" s="302"/>
      <c r="D19" s="302"/>
      <c r="E19" s="302"/>
      <c r="F19" s="41"/>
      <c r="G19" s="32"/>
      <c r="H19" s="32"/>
      <c r="I19" s="32"/>
      <c r="J19" s="32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:33" ht="13">
      <c r="A20" s="881" t="s">
        <v>462</v>
      </c>
      <c r="B20" s="881"/>
      <c r="C20" s="881"/>
      <c r="D20" s="881"/>
      <c r="E20" s="303"/>
      <c r="AG20" s="32"/>
    </row>
    <row r="21" spans="1:33" ht="32.25" customHeight="1">
      <c r="A21" s="303"/>
      <c r="B21" s="303"/>
      <c r="C21" s="303"/>
      <c r="D21" s="303"/>
      <c r="E21" s="303"/>
      <c r="AG21" s="32"/>
    </row>
    <row r="22" spans="1:33" ht="21">
      <c r="A22" s="883" t="s">
        <v>463</v>
      </c>
      <c r="B22" s="883"/>
      <c r="C22" s="883"/>
      <c r="D22" s="883"/>
      <c r="E22" s="308"/>
      <c r="AG22" s="32"/>
    </row>
    <row r="23" spans="1:33" ht="13">
      <c r="A23" s="872" t="s">
        <v>467</v>
      </c>
      <c r="B23" s="872"/>
      <c r="C23" s="872"/>
      <c r="D23" s="872"/>
      <c r="E23" s="298"/>
      <c r="AG23" s="32"/>
    </row>
    <row r="24" spans="1:33" ht="13">
      <c r="A24" s="300" t="s">
        <v>529</v>
      </c>
      <c r="B24" s="300"/>
      <c r="C24" s="300"/>
      <c r="D24" s="300"/>
      <c r="E24" s="300"/>
      <c r="AG24" s="32"/>
    </row>
    <row r="25" spans="1:33" s="32" customFormat="1" ht="19.5" customHeight="1">
      <c r="A25" s="300" t="s">
        <v>464</v>
      </c>
      <c r="B25" s="300"/>
      <c r="C25" s="300"/>
      <c r="D25" s="300"/>
      <c r="E25" s="300"/>
      <c r="G25" s="42"/>
      <c r="H25" s="42"/>
      <c r="I25" s="42"/>
      <c r="J25" s="42"/>
    </row>
    <row r="26" spans="1:33" s="35" customFormat="1" ht="13">
      <c r="A26" s="300" t="s">
        <v>530</v>
      </c>
      <c r="B26" s="300"/>
      <c r="C26" s="300"/>
      <c r="D26" s="300"/>
      <c r="E26" s="300"/>
      <c r="F26" s="42"/>
      <c r="G26" s="32"/>
      <c r="H26" s="32"/>
      <c r="I26" s="32"/>
      <c r="J26" s="3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 ht="13">
      <c r="A27" s="300" t="s">
        <v>531</v>
      </c>
      <c r="B27" s="300"/>
      <c r="C27" s="300"/>
      <c r="D27" s="300"/>
      <c r="E27" s="300"/>
      <c r="AG27" s="32"/>
    </row>
    <row r="28" spans="1:33" ht="13">
      <c r="A28" s="300" t="s">
        <v>465</v>
      </c>
      <c r="B28" s="300"/>
      <c r="C28" s="300"/>
      <c r="D28" s="300"/>
      <c r="E28" s="300"/>
      <c r="G28" s="92"/>
      <c r="H28" s="92"/>
      <c r="I28" s="92"/>
      <c r="J28" s="92"/>
      <c r="AG28" s="32"/>
    </row>
    <row r="29" spans="1:33" ht="30.75" customHeight="1">
      <c r="A29" s="300"/>
      <c r="B29" s="300"/>
      <c r="C29" s="300"/>
      <c r="D29" s="300"/>
      <c r="E29" s="300"/>
      <c r="F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</row>
    <row r="30" spans="1:33" ht="48" customHeight="1">
      <c r="A30" s="884" t="s">
        <v>466</v>
      </c>
      <c r="B30" s="884"/>
      <c r="C30" s="884"/>
      <c r="D30" s="884"/>
      <c r="E30" s="309"/>
      <c r="AG30" s="32"/>
    </row>
    <row r="31" spans="1:33" s="32" customFormat="1" ht="13">
      <c r="A31" s="162"/>
      <c r="B31" s="162"/>
      <c r="C31" s="162"/>
      <c r="D31" s="162"/>
      <c r="E31" s="162"/>
    </row>
    <row r="32" spans="1:33" s="32" customFormat="1" ht="13">
      <c r="A32" s="882" t="s">
        <v>558</v>
      </c>
      <c r="B32" s="882"/>
      <c r="C32" s="882"/>
      <c r="D32" s="304" t="s">
        <v>468</v>
      </c>
      <c r="E32" s="304"/>
    </row>
    <row r="33" spans="1:5" s="32" customFormat="1">
      <c r="A33" s="26"/>
      <c r="B33" s="26"/>
      <c r="C33" s="26"/>
      <c r="D33" s="26"/>
      <c r="E33" s="26"/>
    </row>
    <row r="34" spans="1:5" s="32" customFormat="1"/>
    <row r="35" spans="1:5" s="32" customFormat="1"/>
    <row r="36" spans="1:5" s="32" customFormat="1"/>
    <row r="37" spans="1:5" s="32" customFormat="1"/>
    <row r="38" spans="1:5" s="32" customFormat="1"/>
    <row r="39" spans="1:5" s="32" customFormat="1"/>
    <row r="40" spans="1:5" s="32" customFormat="1"/>
    <row r="41" spans="1:5" s="32" customFormat="1"/>
    <row r="42" spans="1:5" s="32" customFormat="1"/>
    <row r="43" spans="1:5" s="32" customFormat="1"/>
    <row r="44" spans="1:5" s="32" customFormat="1"/>
    <row r="45" spans="1:5" s="32" customFormat="1"/>
    <row r="46" spans="1:5" s="32" customFormat="1"/>
    <row r="47" spans="1:5" s="32" customFormat="1"/>
    <row r="48" spans="1:5" s="32" customFormat="1"/>
    <row r="49" s="32" customFormat="1"/>
    <row r="50" s="32" customFormat="1"/>
    <row r="51" s="32" customFormat="1"/>
    <row r="52" s="32" customFormat="1"/>
    <row r="53" s="32" customFormat="1"/>
    <row r="54" s="32" customFormat="1"/>
    <row r="55" s="32" customFormat="1"/>
    <row r="56" s="32" customFormat="1"/>
    <row r="57" s="32" customFormat="1"/>
    <row r="58" s="32" customFormat="1"/>
    <row r="59" s="32" customFormat="1"/>
    <row r="60" s="32" customFormat="1"/>
    <row r="61" s="32" customFormat="1"/>
    <row r="62" s="32" customFormat="1"/>
    <row r="63" s="32" customFormat="1"/>
    <row r="64" s="32" customFormat="1"/>
    <row r="65" s="32" customFormat="1"/>
    <row r="66" s="32" customFormat="1"/>
    <row r="67" s="32" customFormat="1"/>
    <row r="68" s="32" customFormat="1"/>
    <row r="69" s="32" customFormat="1"/>
    <row r="70" s="32" customFormat="1"/>
    <row r="71" s="32" customFormat="1"/>
    <row r="72" s="32" customFormat="1"/>
    <row r="73" s="32" customFormat="1"/>
    <row r="74" s="32" customFormat="1"/>
    <row r="75" s="32" customFormat="1"/>
    <row r="76" s="32" customFormat="1"/>
    <row r="77" s="32" customFormat="1"/>
    <row r="78" s="32" customFormat="1"/>
    <row r="79" s="32" customFormat="1"/>
    <row r="80" s="32" customFormat="1"/>
    <row r="81" s="32" customFormat="1"/>
    <row r="82" s="32" customFormat="1"/>
    <row r="83" s="32" customFormat="1"/>
    <row r="84" s="32" customFormat="1"/>
    <row r="85" s="32" customFormat="1"/>
    <row r="86" s="32" customFormat="1"/>
    <row r="87" s="32" customFormat="1"/>
    <row r="88" s="32" customFormat="1"/>
    <row r="89" s="32" customFormat="1"/>
    <row r="90" s="32" customFormat="1"/>
    <row r="91" s="32" customFormat="1"/>
    <row r="92" s="32" customFormat="1"/>
    <row r="93" s="32" customFormat="1"/>
    <row r="94" s="32" customFormat="1"/>
    <row r="95" s="32" customFormat="1"/>
    <row r="96" s="32" customFormat="1"/>
    <row r="97" s="32" customFormat="1"/>
    <row r="98" s="32" customFormat="1"/>
    <row r="99" s="32" customFormat="1"/>
    <row r="100" s="32" customFormat="1"/>
    <row r="101" s="32" customFormat="1"/>
    <row r="102" s="32" customFormat="1"/>
    <row r="103" s="32" customFormat="1"/>
    <row r="104" s="32" customFormat="1"/>
    <row r="105" s="32" customFormat="1"/>
    <row r="106" s="32" customFormat="1"/>
    <row r="107" s="32" customFormat="1"/>
    <row r="108" s="32" customFormat="1"/>
    <row r="109" s="32" customFormat="1"/>
    <row r="110" s="32" customFormat="1"/>
    <row r="111" s="32" customFormat="1"/>
    <row r="112" s="32" customFormat="1"/>
    <row r="113" s="32" customFormat="1"/>
    <row r="114" s="32" customFormat="1"/>
    <row r="115" s="32" customFormat="1"/>
    <row r="116" s="32" customFormat="1"/>
    <row r="117" s="32" customFormat="1"/>
    <row r="118" s="32" customFormat="1"/>
    <row r="119" s="32" customFormat="1"/>
    <row r="120" s="32" customFormat="1"/>
    <row r="121" s="32" customFormat="1"/>
    <row r="122" s="32" customFormat="1"/>
    <row r="123" s="32" customFormat="1"/>
    <row r="124" s="32" customFormat="1"/>
    <row r="125" s="32" customFormat="1"/>
    <row r="126" s="32" customFormat="1"/>
    <row r="127" s="32" customFormat="1"/>
    <row r="128" s="32" customFormat="1"/>
    <row r="129" s="32" customFormat="1"/>
    <row r="130" s="32" customFormat="1"/>
    <row r="131" s="32" customFormat="1"/>
    <row r="132" s="32" customFormat="1"/>
    <row r="133" s="32" customFormat="1"/>
    <row r="134" s="32" customFormat="1"/>
    <row r="135" s="32" customFormat="1"/>
    <row r="136" s="32" customFormat="1"/>
    <row r="137" s="32" customFormat="1"/>
    <row r="138" s="32" customFormat="1"/>
    <row r="139" s="32" customFormat="1"/>
    <row r="140" s="32" customFormat="1"/>
    <row r="141" s="32" customFormat="1"/>
    <row r="142" s="32" customFormat="1"/>
    <row r="143" s="32" customFormat="1"/>
    <row r="144" s="32" customFormat="1"/>
    <row r="145" s="32" customFormat="1"/>
    <row r="146" s="32" customFormat="1"/>
    <row r="147" s="32" customFormat="1"/>
    <row r="148" s="32" customFormat="1"/>
    <row r="149" s="32" customFormat="1"/>
    <row r="150" s="32" customFormat="1"/>
    <row r="151" s="32" customFormat="1"/>
    <row r="152" s="32" customFormat="1"/>
    <row r="153" s="32" customFormat="1"/>
    <row r="154" s="32" customFormat="1"/>
    <row r="155" s="32" customFormat="1"/>
    <row r="156" s="32" customFormat="1"/>
    <row r="157" s="32" customFormat="1"/>
    <row r="158" s="32" customFormat="1"/>
    <row r="159" s="32" customFormat="1"/>
    <row r="160" s="32" customFormat="1"/>
    <row r="161" s="32" customFormat="1"/>
    <row r="162" s="32" customFormat="1"/>
    <row r="163" s="32" customFormat="1"/>
    <row r="164" s="32" customFormat="1"/>
    <row r="165" s="32" customFormat="1"/>
    <row r="166" s="32" customFormat="1"/>
    <row r="167" s="32" customFormat="1"/>
    <row r="168" s="32" customFormat="1"/>
    <row r="169" s="32" customFormat="1"/>
    <row r="170" s="32" customFormat="1"/>
    <row r="171" s="32" customFormat="1"/>
    <row r="172" s="32" customFormat="1"/>
    <row r="173" s="32" customFormat="1"/>
    <row r="174" s="32" customFormat="1"/>
    <row r="175" s="32" customFormat="1"/>
    <row r="176" s="32" customFormat="1"/>
    <row r="177" s="32" customFormat="1"/>
    <row r="178" s="32" customFormat="1"/>
    <row r="179" s="32" customFormat="1"/>
    <row r="180" s="32" customFormat="1"/>
    <row r="181" s="32" customFormat="1"/>
    <row r="182" s="32" customFormat="1"/>
    <row r="183" s="32" customFormat="1"/>
    <row r="184" s="32" customFormat="1"/>
    <row r="185" s="32" customFormat="1"/>
    <row r="186" s="32" customFormat="1"/>
    <row r="187" s="32" customFormat="1"/>
    <row r="188" s="32" customFormat="1"/>
    <row r="189" s="32" customFormat="1"/>
    <row r="190" s="32" customFormat="1"/>
    <row r="191" s="32" customFormat="1"/>
    <row r="192" s="32" customFormat="1"/>
    <row r="193" spans="1:32" s="32" customFormat="1"/>
    <row r="194" spans="1:32" s="32" customFormat="1"/>
    <row r="195" spans="1:32" s="32" customFormat="1"/>
    <row r="196" spans="1:32" s="32" customFormat="1"/>
    <row r="197" spans="1:32" s="32" customFormat="1"/>
    <row r="198" spans="1:32" s="32" customFormat="1"/>
    <row r="199" spans="1:32" s="32" customFormat="1"/>
    <row r="200" spans="1:32" s="32" customFormat="1"/>
    <row r="201" spans="1:32" s="32" customFormat="1"/>
    <row r="202" spans="1:32" s="39" customForma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</row>
    <row r="203" spans="1:32" s="39" customForma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</row>
    <row r="204" spans="1:32" s="39" customForma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</row>
    <row r="205" spans="1:32" s="39" customFormat="1"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</row>
    <row r="206" spans="1:32" s="39" customFormat="1"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</row>
    <row r="207" spans="1:32" s="39" customFormat="1"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</row>
    <row r="208" spans="1:32" s="39" customFormat="1"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</row>
    <row r="209" spans="5:32" s="39" customFormat="1"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</row>
    <row r="210" spans="5:32" s="39" customFormat="1"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</row>
    <row r="211" spans="5:32" s="39" customFormat="1"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</row>
    <row r="212" spans="5:32" s="39" customFormat="1"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</row>
    <row r="213" spans="5:32" s="39" customFormat="1"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</row>
    <row r="214" spans="5:32" s="39" customFormat="1"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</row>
    <row r="215" spans="5:32" s="39" customFormat="1"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</row>
    <row r="216" spans="5:32" s="39" customFormat="1"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</row>
    <row r="217" spans="5:32" s="39" customFormat="1"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</row>
    <row r="218" spans="5:32" s="39" customFormat="1"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</row>
    <row r="219" spans="5:32" s="39" customFormat="1"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</row>
    <row r="220" spans="5:32" s="39" customFormat="1"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</row>
    <row r="221" spans="5:32" s="39" customFormat="1"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</row>
    <row r="222" spans="5:32" s="39" customFormat="1"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</row>
    <row r="223" spans="5:32" s="39" customFormat="1"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</row>
    <row r="224" spans="5:32" s="39" customFormat="1"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</row>
    <row r="225" spans="5:32" s="39" customFormat="1"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</row>
    <row r="226" spans="5:32" s="39" customFormat="1"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</row>
    <row r="227" spans="5:32" s="39" customFormat="1"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</row>
    <row r="228" spans="5:32" s="39" customFormat="1"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</row>
    <row r="229" spans="5:32" s="39" customFormat="1"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</row>
    <row r="230" spans="5:32" s="39" customFormat="1"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</row>
    <row r="231" spans="5:32" s="39" customFormat="1"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</row>
    <row r="232" spans="5:32" s="39" customFormat="1"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</row>
    <row r="233" spans="5:32" s="39" customFormat="1"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</row>
    <row r="234" spans="5:32" s="39" customFormat="1"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</row>
    <row r="235" spans="5:32" s="39" customFormat="1"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</row>
    <row r="236" spans="5:32" s="39" customFormat="1"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</row>
    <row r="237" spans="5:32" s="39" customFormat="1"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</row>
    <row r="238" spans="5:32" s="39" customFormat="1"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</row>
    <row r="239" spans="5:32" s="39" customFormat="1"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</row>
    <row r="240" spans="5:32" s="39" customFormat="1"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</row>
    <row r="241" spans="1:32" s="39" customFormat="1"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</row>
    <row r="242" spans="1:32" s="39" customFormat="1"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</row>
    <row r="243" spans="1:32" s="39" customFormat="1"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</row>
    <row r="244" spans="1:32">
      <c r="A244" s="39"/>
      <c r="B244" s="39"/>
      <c r="C244" s="39"/>
      <c r="D244" s="39"/>
    </row>
    <row r="245" spans="1:32">
      <c r="A245" s="39"/>
      <c r="B245" s="39"/>
      <c r="C245" s="39"/>
      <c r="D245" s="39"/>
    </row>
    <row r="246" spans="1:32">
      <c r="A246" s="39"/>
      <c r="B246" s="39"/>
      <c r="C246" s="39"/>
      <c r="D246" s="39"/>
    </row>
  </sheetData>
  <customSheetViews>
    <customSheetView guid="{FA833650-9147-48FF-9246-B3943D91CD8D}">
      <selection activeCell="A14" sqref="A14:D14"/>
      <pageMargins left="0.7" right="0.7" top="0.75" bottom="0.75" header="0.3" footer="0.3"/>
      <pageSetup paperSize="9" scale="81" orientation="portrait" r:id="rId1"/>
    </customSheetView>
  </customSheetViews>
  <mergeCells count="11">
    <mergeCell ref="A20:D20"/>
    <mergeCell ref="A32:C32"/>
    <mergeCell ref="A22:D22"/>
    <mergeCell ref="A30:D30"/>
    <mergeCell ref="A23:D23"/>
    <mergeCell ref="A17:D17"/>
    <mergeCell ref="A3:D3"/>
    <mergeCell ref="A4:D4"/>
    <mergeCell ref="A7:D7"/>
    <mergeCell ref="A8:D8"/>
    <mergeCell ref="A5:D6"/>
  </mergeCells>
  <hyperlinks>
    <hyperlink ref="D32" r:id="rId2"/>
  </hyperlinks>
  <pageMargins left="0.7" right="0.7" top="0.75" bottom="0.75" header="0.3" footer="0.3"/>
  <pageSetup paperSize="9" scale="81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06"/>
  <sheetViews>
    <sheetView workbookViewId="0"/>
  </sheetViews>
  <sheetFormatPr defaultRowHeight="12.5"/>
  <cols>
    <col min="1" max="1" width="50.90625" style="7" customWidth="1"/>
    <col min="2" max="3" width="9.08984375" style="7" customWidth="1"/>
    <col min="4" max="4" width="16.453125" style="7" customWidth="1"/>
    <col min="5" max="5" width="4.453125" style="55" customWidth="1"/>
    <col min="6" max="26" width="9.08984375" style="55" customWidth="1"/>
  </cols>
  <sheetData>
    <row r="1" spans="1:45" s="7" customFormat="1" ht="53.25" customHeight="1">
      <c r="A1" s="200"/>
      <c r="B1" s="201"/>
      <c r="C1" s="202"/>
      <c r="D1" s="201"/>
      <c r="E1" s="203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</row>
    <row r="2" spans="1:45" s="26" customFormat="1" ht="20.25" customHeight="1">
      <c r="A2" s="292"/>
      <c r="B2" s="292"/>
      <c r="C2" s="293"/>
      <c r="D2" s="292"/>
      <c r="E2" s="29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45" s="26" customFormat="1" ht="20.25" customHeight="1">
      <c r="A3" s="888" t="s">
        <v>536</v>
      </c>
      <c r="B3" s="888"/>
      <c r="C3" s="888"/>
      <c r="D3" s="888"/>
      <c r="E3" s="310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</row>
    <row r="4" spans="1:45" s="26" customFormat="1" ht="60" customHeight="1">
      <c r="A4" s="889" t="s">
        <v>537</v>
      </c>
      <c r="B4" s="889"/>
      <c r="C4" s="889"/>
      <c r="D4" s="889"/>
      <c r="E4" s="311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</row>
    <row r="5" spans="1:45" s="26" customFormat="1" ht="19.5" customHeight="1">
      <c r="A5" s="294"/>
      <c r="B5" s="294"/>
      <c r="C5" s="294"/>
      <c r="D5" s="294"/>
      <c r="E5" s="294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1:45" s="26" customFormat="1" ht="21.75" customHeight="1">
      <c r="A6" s="890" t="s">
        <v>538</v>
      </c>
      <c r="B6" s="890"/>
      <c r="C6" s="890"/>
      <c r="D6" s="890"/>
      <c r="E6" s="312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</row>
    <row r="7" spans="1:45" s="55" customFormat="1" ht="33.75" customHeight="1">
      <c r="A7" s="889" t="s">
        <v>539</v>
      </c>
      <c r="B7" s="889"/>
      <c r="C7" s="889"/>
      <c r="D7" s="889"/>
      <c r="E7" s="311"/>
    </row>
    <row r="8" spans="1:45" s="26" customFormat="1" ht="78.75" customHeight="1">
      <c r="A8" s="289" t="s">
        <v>540</v>
      </c>
      <c r="B8" s="891" t="s">
        <v>1067</v>
      </c>
      <c r="C8" s="891"/>
      <c r="D8" s="891"/>
      <c r="E8" s="29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</row>
    <row r="9" spans="1:45" s="297" customFormat="1" ht="93.75" customHeight="1">
      <c r="A9" s="886" t="s">
        <v>1070</v>
      </c>
      <c r="B9" s="886"/>
      <c r="C9" s="886"/>
      <c r="D9" s="886"/>
      <c r="E9" s="313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</row>
    <row r="10" spans="1:45" s="55" customFormat="1" ht="75.75" customHeight="1">
      <c r="A10" s="289" t="s">
        <v>540</v>
      </c>
      <c r="B10" s="885" t="s">
        <v>1068</v>
      </c>
      <c r="C10" s="885"/>
      <c r="D10" s="885"/>
      <c r="E10" s="291"/>
    </row>
    <row r="11" spans="1:45" s="55" customFormat="1" ht="127.5" customHeight="1">
      <c r="A11" s="886" t="s">
        <v>1071</v>
      </c>
      <c r="B11" s="886"/>
      <c r="C11" s="886"/>
      <c r="D11" s="886"/>
      <c r="E11" s="313"/>
    </row>
    <row r="12" spans="1:45" s="55" customFormat="1" ht="64.5" customHeight="1">
      <c r="A12" s="290"/>
      <c r="B12" s="885" t="s">
        <v>1069</v>
      </c>
      <c r="C12" s="885"/>
      <c r="D12" s="885"/>
      <c r="E12" s="291"/>
    </row>
    <row r="13" spans="1:45" s="55" customFormat="1" ht="60" customHeight="1">
      <c r="A13" s="886" t="s">
        <v>1072</v>
      </c>
      <c r="B13" s="887"/>
      <c r="C13" s="887"/>
      <c r="D13" s="887"/>
      <c r="E13" s="314"/>
    </row>
    <row r="14" spans="1:45" s="55" customFormat="1" ht="13">
      <c r="A14" s="313"/>
      <c r="B14" s="314"/>
      <c r="C14" s="314"/>
      <c r="D14" s="314"/>
      <c r="E14" s="314"/>
    </row>
    <row r="15" spans="1:45" s="55" customFormat="1">
      <c r="A15" s="57"/>
      <c r="B15" s="57"/>
      <c r="C15" s="57"/>
      <c r="D15" s="57"/>
    </row>
    <row r="16" spans="1:45" s="55" customFormat="1">
      <c r="A16" s="57"/>
      <c r="B16" s="57"/>
      <c r="C16" s="57"/>
      <c r="D16" s="57"/>
    </row>
    <row r="17" spans="1:4" s="55" customFormat="1">
      <c r="A17" s="57"/>
      <c r="B17" s="57"/>
      <c r="C17" s="57"/>
      <c r="D17" s="57"/>
    </row>
    <row r="18" spans="1:4" s="55" customFormat="1">
      <c r="A18" s="57"/>
      <c r="B18" s="57"/>
      <c r="C18" s="57"/>
      <c r="D18" s="57"/>
    </row>
    <row r="19" spans="1:4" s="55" customFormat="1">
      <c r="A19" s="57"/>
      <c r="B19" s="57"/>
      <c r="C19" s="57"/>
      <c r="D19" s="57"/>
    </row>
    <row r="20" spans="1:4" s="55" customFormat="1">
      <c r="A20" s="57"/>
      <c r="B20" s="57"/>
      <c r="C20" s="57"/>
      <c r="D20" s="57"/>
    </row>
    <row r="21" spans="1:4" s="55" customFormat="1">
      <c r="A21" s="57"/>
      <c r="B21" s="57"/>
      <c r="C21" s="57"/>
      <c r="D21" s="57"/>
    </row>
    <row r="22" spans="1:4" s="55" customFormat="1">
      <c r="A22" s="57"/>
      <c r="B22" s="57"/>
      <c r="C22" s="57"/>
      <c r="D22" s="57"/>
    </row>
    <row r="23" spans="1:4" s="55" customFormat="1">
      <c r="A23" s="57"/>
      <c r="B23" s="57"/>
      <c r="C23" s="57"/>
      <c r="D23" s="57"/>
    </row>
    <row r="24" spans="1:4" s="55" customFormat="1">
      <c r="A24" s="57"/>
      <c r="B24" s="57"/>
      <c r="C24" s="57"/>
      <c r="D24" s="57"/>
    </row>
    <row r="25" spans="1:4" s="55" customFormat="1">
      <c r="A25" s="57"/>
      <c r="B25" s="57"/>
      <c r="C25" s="57"/>
      <c r="D25" s="57"/>
    </row>
    <row r="26" spans="1:4" s="55" customFormat="1">
      <c r="A26" s="57"/>
      <c r="B26" s="57"/>
      <c r="C26" s="57"/>
      <c r="D26" s="57"/>
    </row>
    <row r="27" spans="1:4" s="55" customFormat="1">
      <c r="A27" s="57"/>
      <c r="B27" s="57"/>
      <c r="C27" s="57"/>
      <c r="D27" s="57"/>
    </row>
    <row r="28" spans="1:4" s="55" customFormat="1">
      <c r="A28" s="57"/>
      <c r="B28" s="57"/>
      <c r="C28" s="57"/>
      <c r="D28" s="57"/>
    </row>
    <row r="29" spans="1:4" s="55" customFormat="1">
      <c r="A29" s="57"/>
      <c r="B29" s="57"/>
      <c r="C29" s="57"/>
      <c r="D29" s="57"/>
    </row>
    <row r="30" spans="1:4" s="55" customFormat="1">
      <c r="A30" s="57"/>
      <c r="B30" s="57"/>
      <c r="C30" s="57"/>
      <c r="D30" s="57"/>
    </row>
    <row r="31" spans="1:4" s="55" customFormat="1">
      <c r="A31" s="57"/>
      <c r="B31" s="57"/>
      <c r="C31" s="57"/>
      <c r="D31" s="57"/>
    </row>
    <row r="32" spans="1:4" s="55" customFormat="1">
      <c r="A32" s="57"/>
      <c r="B32" s="57"/>
      <c r="C32" s="57"/>
      <c r="D32" s="57"/>
    </row>
    <row r="33" spans="1:4" s="55" customFormat="1">
      <c r="A33" s="57"/>
      <c r="B33" s="57"/>
      <c r="C33" s="57"/>
      <c r="D33" s="57"/>
    </row>
    <row r="34" spans="1:4" s="55" customFormat="1">
      <c r="A34" s="57"/>
      <c r="B34" s="57"/>
      <c r="C34" s="57"/>
      <c r="D34" s="57"/>
    </row>
    <row r="35" spans="1:4" s="55" customFormat="1">
      <c r="A35" s="57"/>
      <c r="B35" s="57"/>
      <c r="C35" s="57"/>
      <c r="D35" s="57"/>
    </row>
    <row r="36" spans="1:4" s="55" customFormat="1">
      <c r="A36" s="57"/>
      <c r="B36" s="57"/>
      <c r="C36" s="57"/>
      <c r="D36" s="57"/>
    </row>
    <row r="37" spans="1:4" s="55" customFormat="1">
      <c r="A37" s="57"/>
      <c r="B37" s="57"/>
      <c r="C37" s="57"/>
      <c r="D37" s="57"/>
    </row>
    <row r="38" spans="1:4" s="55" customFormat="1">
      <c r="A38" s="57"/>
      <c r="B38" s="57"/>
      <c r="C38" s="57"/>
      <c r="D38" s="57"/>
    </row>
    <row r="39" spans="1:4" s="55" customFormat="1">
      <c r="A39" s="57"/>
      <c r="B39" s="57"/>
      <c r="C39" s="57"/>
      <c r="D39" s="57"/>
    </row>
    <row r="40" spans="1:4" s="55" customFormat="1">
      <c r="A40" s="57"/>
      <c r="B40" s="57"/>
      <c r="C40" s="57"/>
      <c r="D40" s="57"/>
    </row>
    <row r="41" spans="1:4" s="55" customFormat="1">
      <c r="A41" s="57"/>
      <c r="B41" s="57"/>
      <c r="C41" s="57"/>
      <c r="D41" s="57"/>
    </row>
    <row r="42" spans="1:4" s="55" customFormat="1">
      <c r="A42" s="57"/>
      <c r="B42" s="57"/>
      <c r="C42" s="57"/>
      <c r="D42" s="57"/>
    </row>
    <row r="43" spans="1:4" s="55" customFormat="1">
      <c r="A43" s="57"/>
      <c r="B43" s="57"/>
      <c r="C43" s="57"/>
      <c r="D43" s="57"/>
    </row>
    <row r="44" spans="1:4" s="55" customFormat="1">
      <c r="A44" s="57"/>
      <c r="B44" s="57"/>
      <c r="C44" s="57"/>
      <c r="D44" s="57"/>
    </row>
    <row r="45" spans="1:4" s="55" customFormat="1">
      <c r="A45" s="57"/>
      <c r="B45" s="57"/>
      <c r="C45" s="57"/>
      <c r="D45" s="57"/>
    </row>
    <row r="46" spans="1:4" s="55" customFormat="1">
      <c r="A46" s="57"/>
      <c r="B46" s="57"/>
      <c r="C46" s="57"/>
      <c r="D46" s="57"/>
    </row>
    <row r="47" spans="1:4" s="55" customFormat="1">
      <c r="A47" s="57"/>
      <c r="B47" s="57"/>
      <c r="C47" s="57"/>
      <c r="D47" s="57"/>
    </row>
    <row r="48" spans="1:4" s="55" customFormat="1">
      <c r="A48" s="57"/>
      <c r="B48" s="57"/>
      <c r="C48" s="57"/>
      <c r="D48" s="57"/>
    </row>
    <row r="49" spans="1:4" s="55" customFormat="1">
      <c r="A49" s="57"/>
      <c r="B49" s="57"/>
      <c r="C49" s="57"/>
      <c r="D49" s="57"/>
    </row>
    <row r="50" spans="1:4" s="55" customFormat="1">
      <c r="A50" s="57"/>
      <c r="B50" s="57"/>
      <c r="C50" s="57"/>
      <c r="D50" s="57"/>
    </row>
    <row r="51" spans="1:4" s="55" customFormat="1">
      <c r="A51" s="57"/>
      <c r="B51" s="57"/>
      <c r="C51" s="57"/>
      <c r="D51" s="57"/>
    </row>
    <row r="52" spans="1:4">
      <c r="A52" s="57"/>
      <c r="B52" s="57"/>
      <c r="C52" s="57"/>
      <c r="D52" s="57"/>
    </row>
    <row r="53" spans="1:4">
      <c r="A53" s="57"/>
      <c r="B53" s="57"/>
      <c r="C53" s="57"/>
      <c r="D53" s="57"/>
    </row>
    <row r="54" spans="1:4">
      <c r="A54" s="57"/>
      <c r="B54" s="57"/>
      <c r="C54" s="57"/>
      <c r="D54" s="57"/>
    </row>
    <row r="55" spans="1:4">
      <c r="A55" s="57"/>
      <c r="B55" s="57"/>
      <c r="C55" s="57"/>
      <c r="D55" s="57"/>
    </row>
    <row r="56" spans="1:4">
      <c r="A56" s="55"/>
      <c r="B56" s="55"/>
      <c r="C56" s="55"/>
      <c r="D56" s="55"/>
    </row>
    <row r="57" spans="1:4">
      <c r="A57" s="55"/>
      <c r="B57" s="55"/>
      <c r="C57" s="55"/>
      <c r="D57" s="55"/>
    </row>
    <row r="58" spans="1:4">
      <c r="A58" s="55"/>
      <c r="B58" s="55"/>
      <c r="C58" s="55"/>
      <c r="D58" s="55"/>
    </row>
    <row r="59" spans="1:4">
      <c r="A59" s="55"/>
      <c r="B59" s="55"/>
      <c r="C59" s="55"/>
      <c r="D59" s="55"/>
    </row>
    <row r="60" spans="1:4">
      <c r="A60" s="55"/>
      <c r="B60" s="55"/>
      <c r="C60" s="55"/>
      <c r="D60" s="55"/>
    </row>
    <row r="61" spans="1:4">
      <c r="A61" s="55"/>
      <c r="B61" s="55"/>
      <c r="C61" s="55"/>
      <c r="D61" s="55"/>
    </row>
    <row r="62" spans="1:4">
      <c r="A62" s="55"/>
      <c r="B62" s="55"/>
      <c r="C62" s="55"/>
      <c r="D62" s="55"/>
    </row>
    <row r="63" spans="1:4">
      <c r="A63" s="55"/>
      <c r="B63" s="55"/>
      <c r="C63" s="55"/>
      <c r="D63" s="55"/>
    </row>
    <row r="64" spans="1:4">
      <c r="A64" s="55"/>
      <c r="B64" s="55"/>
      <c r="C64" s="55"/>
      <c r="D64" s="55"/>
    </row>
    <row r="65" spans="1:4">
      <c r="A65" s="55"/>
      <c r="B65" s="55"/>
      <c r="C65" s="55"/>
      <c r="D65" s="55"/>
    </row>
    <row r="66" spans="1:4">
      <c r="A66" s="55"/>
      <c r="B66" s="55"/>
      <c r="C66" s="55"/>
      <c r="D66" s="55"/>
    </row>
    <row r="67" spans="1:4">
      <c r="A67" s="55"/>
      <c r="B67" s="55"/>
      <c r="C67" s="55"/>
      <c r="D67" s="55"/>
    </row>
    <row r="68" spans="1:4">
      <c r="A68" s="55"/>
      <c r="B68" s="55"/>
      <c r="C68" s="55"/>
      <c r="D68" s="55"/>
    </row>
    <row r="69" spans="1:4">
      <c r="A69" s="55"/>
      <c r="B69" s="55"/>
      <c r="C69" s="55"/>
      <c r="D69" s="55"/>
    </row>
    <row r="70" spans="1:4">
      <c r="A70" s="55"/>
      <c r="B70" s="55"/>
      <c r="C70" s="55"/>
      <c r="D70" s="55"/>
    </row>
    <row r="71" spans="1:4">
      <c r="A71" s="55"/>
      <c r="B71" s="55"/>
      <c r="C71" s="55"/>
      <c r="D71" s="55"/>
    </row>
    <row r="72" spans="1:4">
      <c r="A72" s="55"/>
      <c r="B72" s="55"/>
      <c r="C72" s="55"/>
      <c r="D72" s="55"/>
    </row>
    <row r="73" spans="1:4">
      <c r="A73" s="55"/>
      <c r="B73" s="55"/>
      <c r="C73" s="55"/>
      <c r="D73" s="55"/>
    </row>
    <row r="74" spans="1:4">
      <c r="A74" s="55"/>
      <c r="B74" s="55"/>
      <c r="C74" s="55"/>
      <c r="D74" s="55"/>
    </row>
    <row r="75" spans="1:4">
      <c r="A75" s="55"/>
      <c r="B75" s="55"/>
      <c r="C75" s="55"/>
      <c r="D75" s="55"/>
    </row>
    <row r="76" spans="1:4">
      <c r="A76" s="55"/>
      <c r="B76" s="55"/>
      <c r="C76" s="55"/>
      <c r="D76" s="55"/>
    </row>
    <row r="77" spans="1:4">
      <c r="A77" s="55"/>
      <c r="B77" s="55"/>
      <c r="C77" s="55"/>
      <c r="D77" s="55"/>
    </row>
    <row r="78" spans="1:4">
      <c r="A78" s="55"/>
      <c r="B78" s="55"/>
      <c r="C78" s="55"/>
      <c r="D78" s="55"/>
    </row>
    <row r="79" spans="1:4">
      <c r="A79" s="55"/>
      <c r="B79" s="55"/>
      <c r="C79" s="55"/>
      <c r="D79" s="55"/>
    </row>
    <row r="80" spans="1:4">
      <c r="A80" s="55"/>
      <c r="B80" s="55"/>
      <c r="C80" s="55"/>
      <c r="D80" s="55"/>
    </row>
    <row r="81" spans="1:4">
      <c r="A81" s="55"/>
      <c r="B81" s="55"/>
      <c r="C81" s="55"/>
      <c r="D81" s="55"/>
    </row>
    <row r="82" spans="1:4">
      <c r="A82" s="55"/>
      <c r="B82" s="55"/>
      <c r="C82" s="55"/>
      <c r="D82" s="55"/>
    </row>
    <row r="83" spans="1:4">
      <c r="A83" s="55"/>
      <c r="B83" s="55"/>
      <c r="C83" s="55"/>
      <c r="D83" s="55"/>
    </row>
    <row r="84" spans="1:4">
      <c r="A84" s="55"/>
      <c r="B84" s="55"/>
      <c r="C84" s="55"/>
      <c r="D84" s="55"/>
    </row>
    <row r="85" spans="1:4">
      <c r="A85" s="55"/>
      <c r="B85" s="55"/>
      <c r="C85" s="55"/>
      <c r="D85" s="55"/>
    </row>
    <row r="86" spans="1:4">
      <c r="A86" s="55"/>
      <c r="B86" s="55"/>
      <c r="C86" s="55"/>
      <c r="D86" s="55"/>
    </row>
    <row r="87" spans="1:4">
      <c r="A87" s="55"/>
      <c r="B87" s="55"/>
      <c r="C87" s="55"/>
      <c r="D87" s="55"/>
    </row>
    <row r="88" spans="1:4">
      <c r="A88" s="55"/>
      <c r="B88" s="55"/>
      <c r="C88" s="55"/>
      <c r="D88" s="55"/>
    </row>
    <row r="89" spans="1:4">
      <c r="A89" s="55"/>
      <c r="B89" s="55"/>
      <c r="C89" s="55"/>
      <c r="D89" s="55"/>
    </row>
    <row r="90" spans="1:4">
      <c r="A90" s="55"/>
      <c r="B90" s="55"/>
      <c r="C90" s="55"/>
      <c r="D90" s="55"/>
    </row>
    <row r="91" spans="1:4">
      <c r="A91" s="55"/>
      <c r="B91" s="55"/>
      <c r="C91" s="55"/>
      <c r="D91" s="55"/>
    </row>
    <row r="92" spans="1:4">
      <c r="A92" s="55"/>
      <c r="B92" s="55"/>
      <c r="C92" s="55"/>
      <c r="D92" s="55"/>
    </row>
    <row r="93" spans="1:4">
      <c r="A93" s="55"/>
      <c r="B93" s="55"/>
      <c r="C93" s="55"/>
      <c r="D93" s="55"/>
    </row>
    <row r="94" spans="1:4">
      <c r="A94" s="55"/>
      <c r="B94" s="55"/>
      <c r="C94" s="55"/>
      <c r="D94" s="55"/>
    </row>
    <row r="95" spans="1:4">
      <c r="A95" s="55"/>
      <c r="B95" s="55"/>
      <c r="C95" s="55"/>
      <c r="D95" s="55"/>
    </row>
    <row r="96" spans="1:4">
      <c r="A96" s="55"/>
      <c r="B96" s="55"/>
      <c r="C96" s="55"/>
      <c r="D96" s="55"/>
    </row>
    <row r="97" spans="1:4">
      <c r="A97" s="55"/>
      <c r="B97" s="55"/>
      <c r="C97" s="55"/>
      <c r="D97" s="55"/>
    </row>
    <row r="98" spans="1:4">
      <c r="A98" s="55"/>
      <c r="B98" s="55"/>
      <c r="C98" s="55"/>
      <c r="D98" s="55"/>
    </row>
    <row r="99" spans="1:4">
      <c r="A99" s="55"/>
      <c r="B99" s="55"/>
      <c r="C99" s="55"/>
      <c r="D99" s="55"/>
    </row>
    <row r="100" spans="1:4">
      <c r="A100" s="55"/>
      <c r="B100" s="55"/>
      <c r="C100" s="55"/>
      <c r="D100" s="55"/>
    </row>
    <row r="101" spans="1:4">
      <c r="A101" s="55"/>
      <c r="B101" s="55"/>
      <c r="C101" s="55"/>
      <c r="D101" s="55"/>
    </row>
    <row r="102" spans="1:4">
      <c r="A102" s="55"/>
      <c r="B102" s="55"/>
      <c r="C102" s="55"/>
      <c r="D102" s="55"/>
    </row>
    <row r="103" spans="1:4">
      <c r="A103" s="55"/>
      <c r="B103" s="55"/>
      <c r="C103" s="55"/>
      <c r="D103" s="55"/>
    </row>
    <row r="104" spans="1:4">
      <c r="A104" s="55"/>
      <c r="B104" s="55"/>
      <c r="C104" s="55"/>
      <c r="D104" s="55"/>
    </row>
    <row r="105" spans="1:4">
      <c r="A105" s="55"/>
      <c r="B105" s="55"/>
      <c r="C105" s="55"/>
      <c r="D105" s="55"/>
    </row>
    <row r="106" spans="1:4">
      <c r="A106" s="55"/>
      <c r="B106" s="55"/>
      <c r="C106" s="55"/>
      <c r="D106" s="55"/>
    </row>
    <row r="107" spans="1:4">
      <c r="A107" s="55"/>
      <c r="B107" s="55"/>
      <c r="C107" s="55"/>
      <c r="D107" s="55"/>
    </row>
    <row r="108" spans="1:4">
      <c r="A108" s="55"/>
      <c r="B108" s="55"/>
      <c r="C108" s="55"/>
      <c r="D108" s="55"/>
    </row>
    <row r="109" spans="1:4">
      <c r="A109" s="55"/>
      <c r="B109" s="55"/>
      <c r="C109" s="55"/>
      <c r="D109" s="55"/>
    </row>
    <row r="110" spans="1:4">
      <c r="A110" s="55"/>
      <c r="B110" s="55"/>
      <c r="C110" s="55"/>
      <c r="D110" s="55"/>
    </row>
    <row r="111" spans="1:4">
      <c r="A111" s="55"/>
      <c r="B111" s="55"/>
      <c r="C111" s="55"/>
      <c r="D111" s="55"/>
    </row>
    <row r="112" spans="1:4">
      <c r="A112" s="55"/>
      <c r="B112" s="55"/>
      <c r="C112" s="55"/>
      <c r="D112" s="55"/>
    </row>
    <row r="113" spans="1:4">
      <c r="A113" s="55"/>
      <c r="B113" s="55"/>
      <c r="C113" s="55"/>
      <c r="D113" s="55"/>
    </row>
    <row r="114" spans="1:4">
      <c r="A114" s="55"/>
      <c r="B114" s="55"/>
      <c r="C114" s="55"/>
      <c r="D114" s="55"/>
    </row>
    <row r="115" spans="1:4">
      <c r="A115" s="55"/>
      <c r="B115" s="55"/>
      <c r="C115" s="55"/>
      <c r="D115" s="55"/>
    </row>
    <row r="116" spans="1:4">
      <c r="A116" s="55"/>
      <c r="B116" s="55"/>
      <c r="C116" s="55"/>
      <c r="D116" s="55"/>
    </row>
    <row r="117" spans="1:4">
      <c r="A117" s="55"/>
      <c r="B117" s="55"/>
      <c r="C117" s="55"/>
      <c r="D117" s="55"/>
    </row>
    <row r="118" spans="1:4">
      <c r="A118" s="55"/>
      <c r="B118" s="55"/>
      <c r="C118" s="55"/>
      <c r="D118" s="55"/>
    </row>
    <row r="119" spans="1:4">
      <c r="A119" s="55"/>
      <c r="B119" s="55"/>
      <c r="C119" s="55"/>
      <c r="D119" s="55"/>
    </row>
    <row r="120" spans="1:4">
      <c r="A120" s="55"/>
      <c r="B120" s="55"/>
      <c r="C120" s="55"/>
      <c r="D120" s="55"/>
    </row>
    <row r="121" spans="1:4">
      <c r="A121" s="55"/>
      <c r="B121" s="55"/>
      <c r="C121" s="55"/>
      <c r="D121" s="55"/>
    </row>
    <row r="122" spans="1:4">
      <c r="A122" s="55"/>
      <c r="B122" s="55"/>
      <c r="C122" s="55"/>
      <c r="D122" s="55"/>
    </row>
    <row r="123" spans="1:4">
      <c r="A123" s="55"/>
      <c r="B123" s="55"/>
      <c r="C123" s="55"/>
      <c r="D123" s="55"/>
    </row>
    <row r="124" spans="1:4">
      <c r="A124" s="55"/>
      <c r="B124" s="55"/>
      <c r="C124" s="55"/>
      <c r="D124" s="55"/>
    </row>
    <row r="125" spans="1:4">
      <c r="A125" s="55"/>
      <c r="B125" s="55"/>
      <c r="C125" s="55"/>
      <c r="D125" s="55"/>
    </row>
    <row r="126" spans="1:4">
      <c r="A126" s="55"/>
      <c r="B126" s="55"/>
      <c r="C126" s="55"/>
      <c r="D126" s="55"/>
    </row>
    <row r="127" spans="1:4">
      <c r="A127" s="55"/>
      <c r="B127" s="55"/>
      <c r="C127" s="55"/>
      <c r="D127" s="55"/>
    </row>
    <row r="128" spans="1:4">
      <c r="A128" s="55"/>
      <c r="B128" s="55"/>
      <c r="C128" s="55"/>
      <c r="D128" s="55"/>
    </row>
    <row r="129" spans="1:4">
      <c r="A129" s="55"/>
      <c r="B129" s="55"/>
      <c r="C129" s="55"/>
      <c r="D129" s="55"/>
    </row>
    <row r="130" spans="1:4">
      <c r="A130" s="55"/>
      <c r="B130" s="55"/>
      <c r="C130" s="55"/>
      <c r="D130" s="55"/>
    </row>
    <row r="131" spans="1:4">
      <c r="A131" s="55"/>
      <c r="B131" s="55"/>
      <c r="C131" s="55"/>
      <c r="D131" s="55"/>
    </row>
    <row r="132" spans="1:4">
      <c r="A132" s="55"/>
      <c r="B132" s="55"/>
      <c r="C132" s="55"/>
      <c r="D132" s="55"/>
    </row>
    <row r="133" spans="1:4">
      <c r="A133" s="55"/>
      <c r="B133" s="55"/>
      <c r="C133" s="55"/>
      <c r="D133" s="55"/>
    </row>
    <row r="134" spans="1:4">
      <c r="A134" s="55"/>
      <c r="B134" s="55"/>
      <c r="C134" s="55"/>
      <c r="D134" s="55"/>
    </row>
    <row r="135" spans="1:4">
      <c r="A135" s="55"/>
      <c r="B135" s="55"/>
      <c r="C135" s="55"/>
      <c r="D135" s="55"/>
    </row>
    <row r="136" spans="1:4">
      <c r="A136" s="55"/>
      <c r="B136" s="55"/>
      <c r="C136" s="55"/>
      <c r="D136" s="55"/>
    </row>
    <row r="137" spans="1:4">
      <c r="A137" s="55"/>
      <c r="B137" s="55"/>
      <c r="C137" s="55"/>
      <c r="D137" s="55"/>
    </row>
    <row r="138" spans="1:4">
      <c r="A138" s="55"/>
      <c r="B138" s="55"/>
      <c r="C138" s="55"/>
      <c r="D138" s="55"/>
    </row>
    <row r="139" spans="1:4">
      <c r="A139" s="55"/>
      <c r="B139" s="55"/>
      <c r="C139" s="55"/>
      <c r="D139" s="55"/>
    </row>
    <row r="140" spans="1:4">
      <c r="A140" s="55"/>
      <c r="B140" s="55"/>
      <c r="C140" s="55"/>
      <c r="D140" s="55"/>
    </row>
    <row r="141" spans="1:4">
      <c r="A141" s="55"/>
      <c r="B141" s="55"/>
      <c r="C141" s="55"/>
      <c r="D141" s="55"/>
    </row>
    <row r="142" spans="1:4">
      <c r="A142" s="55"/>
      <c r="B142" s="55"/>
      <c r="C142" s="55"/>
      <c r="D142" s="55"/>
    </row>
    <row r="143" spans="1:4">
      <c r="A143" s="55"/>
      <c r="B143" s="55"/>
      <c r="C143" s="55"/>
      <c r="D143" s="55"/>
    </row>
    <row r="144" spans="1:4">
      <c r="A144" s="55"/>
      <c r="B144" s="55"/>
      <c r="C144" s="55"/>
      <c r="D144" s="55"/>
    </row>
    <row r="145" spans="1:4">
      <c r="A145" s="55"/>
      <c r="B145" s="55"/>
      <c r="C145" s="55"/>
      <c r="D145" s="55"/>
    </row>
    <row r="146" spans="1:4">
      <c r="A146" s="55"/>
      <c r="B146" s="55"/>
      <c r="C146" s="55"/>
      <c r="D146" s="55"/>
    </row>
    <row r="147" spans="1:4">
      <c r="A147" s="55"/>
      <c r="B147" s="55"/>
      <c r="C147" s="55"/>
      <c r="D147" s="55"/>
    </row>
    <row r="148" spans="1:4">
      <c r="A148" s="55"/>
      <c r="B148" s="55"/>
      <c r="C148" s="55"/>
      <c r="D148" s="55"/>
    </row>
    <row r="149" spans="1:4">
      <c r="A149" s="55"/>
      <c r="B149" s="55"/>
      <c r="C149" s="55"/>
      <c r="D149" s="55"/>
    </row>
    <row r="150" spans="1:4">
      <c r="A150" s="55"/>
      <c r="B150" s="55"/>
      <c r="C150" s="55"/>
      <c r="D150" s="55"/>
    </row>
    <row r="151" spans="1:4">
      <c r="A151" s="55"/>
      <c r="B151" s="55"/>
      <c r="C151" s="55"/>
      <c r="D151" s="55"/>
    </row>
    <row r="152" spans="1:4">
      <c r="A152" s="55"/>
      <c r="B152" s="55"/>
      <c r="C152" s="55"/>
      <c r="D152" s="55"/>
    </row>
    <row r="153" spans="1:4">
      <c r="A153" s="55"/>
      <c r="B153" s="55"/>
      <c r="C153" s="55"/>
      <c r="D153" s="55"/>
    </row>
    <row r="154" spans="1:4">
      <c r="A154" s="55"/>
      <c r="B154" s="55"/>
      <c r="C154" s="55"/>
      <c r="D154" s="55"/>
    </row>
    <row r="155" spans="1:4">
      <c r="A155" s="55"/>
      <c r="B155" s="55"/>
      <c r="C155" s="55"/>
      <c r="D155" s="55"/>
    </row>
    <row r="156" spans="1:4">
      <c r="A156" s="55"/>
      <c r="B156" s="55"/>
      <c r="C156" s="55"/>
      <c r="D156" s="55"/>
    </row>
    <row r="157" spans="1:4">
      <c r="A157" s="55"/>
      <c r="B157" s="55"/>
      <c r="C157" s="55"/>
      <c r="D157" s="55"/>
    </row>
    <row r="158" spans="1:4">
      <c r="A158" s="55"/>
      <c r="B158" s="55"/>
      <c r="C158" s="55"/>
      <c r="D158" s="55"/>
    </row>
    <row r="159" spans="1:4">
      <c r="A159" s="55"/>
      <c r="B159" s="55"/>
      <c r="C159" s="55"/>
      <c r="D159" s="55"/>
    </row>
    <row r="160" spans="1:4">
      <c r="A160" s="55"/>
      <c r="B160" s="55"/>
      <c r="C160" s="55"/>
      <c r="D160" s="55"/>
    </row>
    <row r="161" spans="1:4">
      <c r="A161" s="55"/>
      <c r="B161" s="55"/>
      <c r="C161" s="55"/>
      <c r="D161" s="55"/>
    </row>
    <row r="162" spans="1:4">
      <c r="A162" s="55"/>
      <c r="B162" s="55"/>
      <c r="C162" s="55"/>
      <c r="D162" s="55"/>
    </row>
    <row r="163" spans="1:4">
      <c r="A163" s="55"/>
      <c r="B163" s="55"/>
      <c r="C163" s="55"/>
      <c r="D163" s="55"/>
    </row>
    <row r="164" spans="1:4">
      <c r="A164" s="55"/>
      <c r="B164" s="55"/>
      <c r="C164" s="55"/>
      <c r="D164" s="55"/>
    </row>
    <row r="165" spans="1:4">
      <c r="A165" s="55"/>
      <c r="B165" s="55"/>
      <c r="C165" s="55"/>
      <c r="D165" s="55"/>
    </row>
    <row r="166" spans="1:4">
      <c r="A166" s="55"/>
      <c r="B166" s="55"/>
      <c r="C166" s="55"/>
      <c r="D166" s="55"/>
    </row>
    <row r="167" spans="1:4">
      <c r="A167" s="55"/>
      <c r="B167" s="55"/>
      <c r="C167" s="55"/>
      <c r="D167" s="55"/>
    </row>
    <row r="168" spans="1:4">
      <c r="A168" s="55"/>
      <c r="B168" s="55"/>
      <c r="C168" s="55"/>
      <c r="D168" s="55"/>
    </row>
    <row r="169" spans="1:4">
      <c r="A169" s="55"/>
      <c r="B169" s="55"/>
      <c r="C169" s="55"/>
      <c r="D169" s="55"/>
    </row>
    <row r="170" spans="1:4">
      <c r="A170" s="55"/>
      <c r="B170" s="55"/>
      <c r="C170" s="55"/>
      <c r="D170" s="55"/>
    </row>
    <row r="171" spans="1:4">
      <c r="A171" s="55"/>
      <c r="B171" s="55"/>
      <c r="C171" s="55"/>
      <c r="D171" s="55"/>
    </row>
    <row r="172" spans="1:4">
      <c r="A172" s="55"/>
      <c r="B172" s="55"/>
      <c r="C172" s="55"/>
      <c r="D172" s="55"/>
    </row>
    <row r="173" spans="1:4">
      <c r="A173" s="55"/>
      <c r="B173" s="55"/>
      <c r="C173" s="55"/>
      <c r="D173" s="55"/>
    </row>
    <row r="174" spans="1:4">
      <c r="A174" s="55"/>
      <c r="B174" s="55"/>
      <c r="C174" s="55"/>
      <c r="D174" s="55"/>
    </row>
    <row r="175" spans="1:4">
      <c r="A175" s="55"/>
      <c r="B175" s="55"/>
      <c r="C175" s="55"/>
      <c r="D175" s="55"/>
    </row>
    <row r="176" spans="1:4">
      <c r="A176" s="55"/>
      <c r="B176" s="55"/>
      <c r="C176" s="55"/>
      <c r="D176" s="55"/>
    </row>
    <row r="177" spans="1:4">
      <c r="A177" s="55"/>
      <c r="B177" s="55"/>
      <c r="C177" s="55"/>
      <c r="D177" s="55"/>
    </row>
    <row r="178" spans="1:4">
      <c r="A178" s="55"/>
      <c r="B178" s="55"/>
      <c r="C178" s="55"/>
      <c r="D178" s="55"/>
    </row>
    <row r="179" spans="1:4">
      <c r="A179" s="55"/>
      <c r="B179" s="55"/>
      <c r="C179" s="55"/>
      <c r="D179" s="55"/>
    </row>
    <row r="180" spans="1:4">
      <c r="A180" s="55"/>
      <c r="B180" s="55"/>
      <c r="C180" s="55"/>
      <c r="D180" s="55"/>
    </row>
    <row r="181" spans="1:4">
      <c r="A181" s="55"/>
      <c r="B181" s="55"/>
      <c r="C181" s="55"/>
      <c r="D181" s="55"/>
    </row>
    <row r="182" spans="1:4">
      <c r="A182" s="55"/>
      <c r="B182" s="55"/>
      <c r="C182" s="55"/>
      <c r="D182" s="55"/>
    </row>
    <row r="183" spans="1:4">
      <c r="A183" s="55"/>
      <c r="B183" s="55"/>
      <c r="C183" s="55"/>
      <c r="D183" s="55"/>
    </row>
    <row r="184" spans="1:4">
      <c r="A184" s="55"/>
      <c r="B184" s="55"/>
      <c r="C184" s="55"/>
      <c r="D184" s="55"/>
    </row>
    <row r="185" spans="1:4">
      <c r="A185" s="55"/>
      <c r="B185" s="55"/>
      <c r="C185" s="55"/>
      <c r="D185" s="55"/>
    </row>
    <row r="186" spans="1:4">
      <c r="A186" s="55"/>
      <c r="B186" s="55"/>
      <c r="C186" s="55"/>
      <c r="D186" s="55"/>
    </row>
    <row r="187" spans="1:4">
      <c r="A187" s="55"/>
      <c r="B187" s="55"/>
      <c r="C187" s="55"/>
      <c r="D187" s="55"/>
    </row>
    <row r="188" spans="1:4">
      <c r="A188" s="55"/>
      <c r="B188" s="55"/>
      <c r="C188" s="55"/>
      <c r="D188" s="55"/>
    </row>
    <row r="189" spans="1:4">
      <c r="A189" s="55"/>
      <c r="B189" s="55"/>
      <c r="C189" s="55"/>
      <c r="D189" s="55"/>
    </row>
    <row r="190" spans="1:4">
      <c r="A190" s="55"/>
      <c r="B190" s="55"/>
      <c r="C190" s="55"/>
      <c r="D190" s="55"/>
    </row>
    <row r="191" spans="1:4">
      <c r="A191" s="55"/>
      <c r="B191" s="55"/>
      <c r="C191" s="55"/>
      <c r="D191" s="55"/>
    </row>
    <row r="192" spans="1:4">
      <c r="A192" s="55"/>
      <c r="B192" s="55"/>
      <c r="C192" s="55"/>
      <c r="D192" s="55"/>
    </row>
    <row r="193" spans="1:4">
      <c r="A193" s="55"/>
      <c r="B193" s="55"/>
      <c r="C193" s="55"/>
      <c r="D193" s="55"/>
    </row>
    <row r="194" spans="1:4">
      <c r="A194" s="55"/>
      <c r="B194" s="55"/>
      <c r="C194" s="55"/>
      <c r="D194" s="55"/>
    </row>
    <row r="195" spans="1:4">
      <c r="A195" s="55"/>
      <c r="B195" s="55"/>
      <c r="C195" s="55"/>
      <c r="D195" s="55"/>
    </row>
    <row r="196" spans="1:4">
      <c r="A196" s="55"/>
      <c r="B196" s="55"/>
      <c r="C196" s="55"/>
      <c r="D196" s="55"/>
    </row>
    <row r="197" spans="1:4">
      <c r="A197" s="55"/>
      <c r="B197" s="55"/>
      <c r="C197" s="55"/>
      <c r="D197" s="55"/>
    </row>
    <row r="198" spans="1:4">
      <c r="A198" s="55"/>
      <c r="B198" s="55"/>
      <c r="C198" s="55"/>
      <c r="D198" s="55"/>
    </row>
    <row r="199" spans="1:4">
      <c r="A199" s="55"/>
      <c r="B199" s="55"/>
      <c r="C199" s="55"/>
      <c r="D199" s="55"/>
    </row>
    <row r="200" spans="1:4">
      <c r="A200" s="55"/>
      <c r="B200" s="55"/>
      <c r="C200" s="55"/>
      <c r="D200" s="55"/>
    </row>
    <row r="201" spans="1:4">
      <c r="A201" s="55"/>
      <c r="B201" s="55"/>
      <c r="C201" s="55"/>
      <c r="D201" s="55"/>
    </row>
    <row r="202" spans="1:4">
      <c r="A202" s="55"/>
      <c r="B202" s="55"/>
      <c r="C202" s="55"/>
      <c r="D202" s="55"/>
    </row>
    <row r="203" spans="1:4">
      <c r="A203" s="55"/>
      <c r="B203" s="55"/>
      <c r="C203" s="55"/>
      <c r="D203" s="55"/>
    </row>
    <row r="204" spans="1:4">
      <c r="A204" s="55"/>
      <c r="B204" s="55"/>
      <c r="C204" s="55"/>
      <c r="D204" s="55"/>
    </row>
    <row r="205" spans="1:4">
      <c r="A205" s="55"/>
      <c r="B205" s="55"/>
      <c r="C205" s="55"/>
      <c r="D205" s="55"/>
    </row>
    <row r="206" spans="1:4">
      <c r="A206" s="55"/>
      <c r="B206" s="55"/>
      <c r="C206" s="55"/>
      <c r="D206" s="55"/>
    </row>
    <row r="207" spans="1:4">
      <c r="A207" s="55"/>
      <c r="B207" s="55"/>
      <c r="C207" s="55"/>
      <c r="D207" s="55"/>
    </row>
    <row r="208" spans="1:4">
      <c r="A208" s="55"/>
      <c r="B208" s="55"/>
      <c r="C208" s="55"/>
      <c r="D208" s="55"/>
    </row>
    <row r="209" spans="1:4">
      <c r="A209" s="55"/>
      <c r="B209" s="55"/>
      <c r="C209" s="55"/>
      <c r="D209" s="55"/>
    </row>
    <row r="210" spans="1:4">
      <c r="A210" s="55"/>
      <c r="B210" s="55"/>
      <c r="C210" s="55"/>
      <c r="D210" s="55"/>
    </row>
    <row r="211" spans="1:4">
      <c r="A211" s="55"/>
      <c r="B211" s="55"/>
      <c r="C211" s="55"/>
      <c r="D211" s="55"/>
    </row>
    <row r="212" spans="1:4">
      <c r="A212" s="55"/>
      <c r="B212" s="55"/>
      <c r="C212" s="55"/>
      <c r="D212" s="55"/>
    </row>
    <row r="213" spans="1:4">
      <c r="A213" s="55"/>
      <c r="B213" s="55"/>
      <c r="C213" s="55"/>
      <c r="D213" s="55"/>
    </row>
    <row r="214" spans="1:4">
      <c r="A214" s="55"/>
      <c r="B214" s="55"/>
      <c r="C214" s="55"/>
      <c r="D214" s="55"/>
    </row>
    <row r="215" spans="1:4">
      <c r="A215" s="55"/>
      <c r="B215" s="55"/>
      <c r="C215" s="55"/>
      <c r="D215" s="55"/>
    </row>
    <row r="216" spans="1:4">
      <c r="A216" s="55"/>
      <c r="B216" s="55"/>
      <c r="C216" s="55"/>
      <c r="D216" s="55"/>
    </row>
    <row r="217" spans="1:4">
      <c r="A217" s="55"/>
      <c r="B217" s="55"/>
      <c r="C217" s="55"/>
      <c r="D217" s="55"/>
    </row>
    <row r="218" spans="1:4">
      <c r="A218" s="55"/>
      <c r="B218" s="55"/>
      <c r="C218" s="55"/>
      <c r="D218" s="55"/>
    </row>
    <row r="219" spans="1:4">
      <c r="A219" s="55"/>
      <c r="B219" s="55"/>
      <c r="C219" s="55"/>
      <c r="D219" s="55"/>
    </row>
    <row r="220" spans="1:4">
      <c r="A220" s="55"/>
      <c r="B220" s="55"/>
      <c r="C220" s="55"/>
      <c r="D220" s="55"/>
    </row>
    <row r="221" spans="1:4">
      <c r="A221" s="55"/>
      <c r="B221" s="55"/>
      <c r="C221" s="55"/>
      <c r="D221" s="55"/>
    </row>
    <row r="222" spans="1:4">
      <c r="A222" s="55"/>
      <c r="B222" s="55"/>
      <c r="C222" s="55"/>
      <c r="D222" s="55"/>
    </row>
    <row r="223" spans="1:4">
      <c r="A223" s="55"/>
      <c r="B223" s="55"/>
      <c r="C223" s="55"/>
      <c r="D223" s="55"/>
    </row>
    <row r="224" spans="1:4">
      <c r="A224" s="55"/>
      <c r="B224" s="55"/>
      <c r="C224" s="55"/>
      <c r="D224" s="55"/>
    </row>
    <row r="225" spans="1:4">
      <c r="A225" s="55"/>
      <c r="B225" s="55"/>
      <c r="C225" s="55"/>
      <c r="D225" s="55"/>
    </row>
    <row r="226" spans="1:4">
      <c r="A226" s="55"/>
      <c r="B226" s="55"/>
      <c r="C226" s="55"/>
      <c r="D226" s="55"/>
    </row>
    <row r="227" spans="1:4">
      <c r="A227" s="55"/>
      <c r="B227" s="55"/>
      <c r="C227" s="55"/>
      <c r="D227" s="55"/>
    </row>
    <row r="228" spans="1:4">
      <c r="A228" s="55"/>
      <c r="B228" s="55"/>
      <c r="C228" s="55"/>
      <c r="D228" s="55"/>
    </row>
    <row r="229" spans="1:4">
      <c r="A229" s="55"/>
      <c r="B229" s="55"/>
      <c r="C229" s="55"/>
      <c r="D229" s="55"/>
    </row>
    <row r="230" spans="1:4">
      <c r="A230" s="55"/>
      <c r="B230" s="55"/>
      <c r="C230" s="55"/>
      <c r="D230" s="55"/>
    </row>
    <row r="231" spans="1:4">
      <c r="A231" s="55"/>
      <c r="B231" s="55"/>
      <c r="C231" s="55"/>
      <c r="D231" s="55"/>
    </row>
    <row r="232" spans="1:4">
      <c r="A232" s="55"/>
      <c r="B232" s="55"/>
      <c r="C232" s="55"/>
      <c r="D232" s="55"/>
    </row>
    <row r="233" spans="1:4">
      <c r="A233" s="55"/>
      <c r="B233" s="55"/>
      <c r="C233" s="55"/>
      <c r="D233" s="55"/>
    </row>
    <row r="234" spans="1:4">
      <c r="A234" s="55"/>
      <c r="B234" s="55"/>
      <c r="C234" s="55"/>
      <c r="D234" s="55"/>
    </row>
    <row r="235" spans="1:4">
      <c r="A235" s="55"/>
      <c r="B235" s="55"/>
      <c r="C235" s="55"/>
      <c r="D235" s="55"/>
    </row>
    <row r="236" spans="1:4">
      <c r="A236" s="55"/>
      <c r="B236" s="55"/>
      <c r="C236" s="55"/>
      <c r="D236" s="55"/>
    </row>
    <row r="237" spans="1:4">
      <c r="A237" s="55"/>
      <c r="B237" s="55"/>
      <c r="C237" s="55"/>
      <c r="D237" s="55"/>
    </row>
    <row r="238" spans="1:4">
      <c r="A238" s="55"/>
      <c r="B238" s="55"/>
      <c r="C238" s="55"/>
      <c r="D238" s="55"/>
    </row>
    <row r="239" spans="1:4">
      <c r="A239" s="55"/>
      <c r="B239" s="55"/>
      <c r="C239" s="55"/>
      <c r="D239" s="55"/>
    </row>
    <row r="240" spans="1:4">
      <c r="A240" s="55"/>
      <c r="B240" s="55"/>
      <c r="C240" s="55"/>
      <c r="D240" s="55"/>
    </row>
    <row r="241" spans="1:4">
      <c r="A241" s="55"/>
      <c r="B241" s="55"/>
      <c r="C241" s="55"/>
      <c r="D241" s="55"/>
    </row>
    <row r="242" spans="1:4">
      <c r="A242" s="55"/>
      <c r="B242" s="55"/>
      <c r="C242" s="55"/>
      <c r="D242" s="55"/>
    </row>
    <row r="243" spans="1:4">
      <c r="A243" s="55"/>
      <c r="B243" s="55"/>
      <c r="C243" s="55"/>
      <c r="D243" s="55"/>
    </row>
    <row r="244" spans="1:4">
      <c r="A244" s="55"/>
      <c r="B244" s="55"/>
      <c r="C244" s="55"/>
      <c r="D244" s="55"/>
    </row>
    <row r="245" spans="1:4">
      <c r="A245" s="55"/>
      <c r="B245" s="55"/>
      <c r="C245" s="55"/>
      <c r="D245" s="55"/>
    </row>
    <row r="246" spans="1:4">
      <c r="A246" s="55"/>
      <c r="B246" s="55"/>
      <c r="C246" s="55"/>
      <c r="D246" s="55"/>
    </row>
    <row r="247" spans="1:4">
      <c r="A247" s="55"/>
      <c r="B247" s="55"/>
      <c r="C247" s="55"/>
      <c r="D247" s="55"/>
    </row>
    <row r="248" spans="1:4">
      <c r="A248" s="55"/>
      <c r="B248" s="55"/>
      <c r="C248" s="55"/>
      <c r="D248" s="55"/>
    </row>
    <row r="249" spans="1:4">
      <c r="A249" s="55"/>
      <c r="B249" s="55"/>
      <c r="C249" s="55"/>
      <c r="D249" s="55"/>
    </row>
    <row r="250" spans="1:4">
      <c r="A250" s="55"/>
      <c r="B250" s="55"/>
      <c r="C250" s="55"/>
      <c r="D250" s="55"/>
    </row>
    <row r="251" spans="1:4">
      <c r="A251" s="55"/>
      <c r="B251" s="55"/>
      <c r="C251" s="55"/>
      <c r="D251" s="55"/>
    </row>
    <row r="252" spans="1:4">
      <c r="A252" s="55"/>
      <c r="B252" s="55"/>
      <c r="C252" s="55"/>
      <c r="D252" s="55"/>
    </row>
    <row r="253" spans="1:4">
      <c r="A253" s="55"/>
      <c r="B253" s="55"/>
      <c r="C253" s="55"/>
      <c r="D253" s="55"/>
    </row>
    <row r="254" spans="1:4">
      <c r="A254" s="55"/>
      <c r="B254" s="55"/>
      <c r="C254" s="55"/>
      <c r="D254" s="55"/>
    </row>
    <row r="255" spans="1:4">
      <c r="A255" s="55"/>
      <c r="B255" s="55"/>
      <c r="C255" s="55"/>
      <c r="D255" s="55"/>
    </row>
    <row r="256" spans="1:4">
      <c r="A256" s="55"/>
      <c r="B256" s="55"/>
      <c r="C256" s="55"/>
      <c r="D256" s="55"/>
    </row>
    <row r="257" spans="1:4">
      <c r="A257" s="55"/>
      <c r="B257" s="55"/>
      <c r="C257" s="55"/>
      <c r="D257" s="55"/>
    </row>
    <row r="258" spans="1:4">
      <c r="A258" s="55"/>
      <c r="B258" s="55"/>
      <c r="C258" s="55"/>
      <c r="D258" s="55"/>
    </row>
    <row r="259" spans="1:4">
      <c r="A259" s="55"/>
      <c r="B259" s="55"/>
      <c r="C259" s="55"/>
      <c r="D259" s="55"/>
    </row>
    <row r="260" spans="1:4">
      <c r="A260" s="55"/>
      <c r="B260" s="55"/>
      <c r="C260" s="55"/>
      <c r="D260" s="55"/>
    </row>
    <row r="261" spans="1:4">
      <c r="A261" s="55"/>
      <c r="B261" s="55"/>
      <c r="C261" s="55"/>
      <c r="D261" s="55"/>
    </row>
    <row r="262" spans="1:4">
      <c r="A262" s="55"/>
      <c r="B262" s="55"/>
      <c r="C262" s="55"/>
      <c r="D262" s="55"/>
    </row>
    <row r="263" spans="1:4">
      <c r="A263" s="55"/>
      <c r="B263" s="55"/>
      <c r="C263" s="55"/>
      <c r="D263" s="55"/>
    </row>
    <row r="264" spans="1:4">
      <c r="A264" s="55"/>
      <c r="B264" s="55"/>
      <c r="C264" s="55"/>
      <c r="D264" s="55"/>
    </row>
    <row r="265" spans="1:4">
      <c r="A265" s="55"/>
      <c r="B265" s="55"/>
      <c r="C265" s="55"/>
      <c r="D265" s="55"/>
    </row>
    <row r="266" spans="1:4">
      <c r="A266" s="55"/>
      <c r="B266" s="55"/>
      <c r="C266" s="55"/>
      <c r="D266" s="55"/>
    </row>
    <row r="267" spans="1:4">
      <c r="A267" s="55"/>
      <c r="B267" s="55"/>
      <c r="C267" s="55"/>
      <c r="D267" s="55"/>
    </row>
    <row r="268" spans="1:4">
      <c r="A268" s="55"/>
      <c r="B268" s="55"/>
      <c r="C268" s="55"/>
      <c r="D268" s="55"/>
    </row>
    <row r="269" spans="1:4">
      <c r="A269" s="55"/>
      <c r="B269" s="55"/>
      <c r="C269" s="55"/>
      <c r="D269" s="55"/>
    </row>
    <row r="270" spans="1:4">
      <c r="A270" s="55"/>
      <c r="B270" s="55"/>
      <c r="C270" s="55"/>
      <c r="D270" s="55"/>
    </row>
    <row r="271" spans="1:4">
      <c r="A271" s="55"/>
      <c r="B271" s="55"/>
      <c r="C271" s="55"/>
      <c r="D271" s="55"/>
    </row>
    <row r="272" spans="1:4">
      <c r="A272" s="55"/>
      <c r="B272" s="55"/>
      <c r="C272" s="55"/>
      <c r="D272" s="55"/>
    </row>
    <row r="273" spans="1:4">
      <c r="A273" s="55"/>
      <c r="B273" s="55"/>
      <c r="C273" s="55"/>
      <c r="D273" s="55"/>
    </row>
    <row r="274" spans="1:4">
      <c r="A274" s="55"/>
      <c r="B274" s="55"/>
      <c r="C274" s="55"/>
      <c r="D274" s="55"/>
    </row>
    <row r="275" spans="1:4">
      <c r="A275" s="55"/>
      <c r="B275" s="55"/>
      <c r="C275" s="55"/>
      <c r="D275" s="55"/>
    </row>
    <row r="276" spans="1:4">
      <c r="A276" s="55"/>
      <c r="B276" s="55"/>
      <c r="C276" s="55"/>
      <c r="D276" s="55"/>
    </row>
    <row r="277" spans="1:4">
      <c r="A277" s="55"/>
      <c r="B277" s="55"/>
      <c r="C277" s="55"/>
      <c r="D277" s="55"/>
    </row>
    <row r="278" spans="1:4">
      <c r="A278" s="55"/>
      <c r="B278" s="55"/>
      <c r="C278" s="55"/>
      <c r="D278" s="55"/>
    </row>
    <row r="279" spans="1:4">
      <c r="A279" s="55"/>
      <c r="B279" s="55"/>
      <c r="C279" s="55"/>
      <c r="D279" s="55"/>
    </row>
    <row r="280" spans="1:4">
      <c r="A280" s="55"/>
      <c r="B280" s="55"/>
      <c r="C280" s="55"/>
      <c r="D280" s="55"/>
    </row>
    <row r="281" spans="1:4">
      <c r="A281" s="55"/>
      <c r="B281" s="55"/>
      <c r="C281" s="55"/>
      <c r="D281" s="55"/>
    </row>
    <row r="282" spans="1:4">
      <c r="A282" s="55"/>
      <c r="B282" s="55"/>
      <c r="C282" s="55"/>
      <c r="D282" s="55"/>
    </row>
    <row r="283" spans="1:4">
      <c r="A283" s="55"/>
      <c r="B283" s="55"/>
      <c r="C283" s="55"/>
      <c r="D283" s="55"/>
    </row>
    <row r="284" spans="1:4">
      <c r="A284" s="55"/>
      <c r="B284" s="55"/>
      <c r="C284" s="55"/>
      <c r="D284" s="55"/>
    </row>
    <row r="285" spans="1:4">
      <c r="A285" s="55"/>
      <c r="B285" s="55"/>
      <c r="C285" s="55"/>
      <c r="D285" s="55"/>
    </row>
    <row r="286" spans="1:4">
      <c r="A286" s="55"/>
      <c r="B286" s="55"/>
      <c r="C286" s="55"/>
      <c r="D286" s="55"/>
    </row>
    <row r="287" spans="1:4">
      <c r="A287" s="55"/>
      <c r="B287" s="55"/>
      <c r="C287" s="55"/>
      <c r="D287" s="55"/>
    </row>
    <row r="288" spans="1:4">
      <c r="A288" s="55"/>
      <c r="B288" s="55"/>
      <c r="C288" s="55"/>
      <c r="D288" s="55"/>
    </row>
    <row r="289" spans="1:4">
      <c r="A289" s="55"/>
      <c r="B289" s="55"/>
      <c r="C289" s="55"/>
      <c r="D289" s="55"/>
    </row>
    <row r="290" spans="1:4">
      <c r="A290" s="55"/>
      <c r="B290" s="55"/>
      <c r="C290" s="55"/>
      <c r="D290" s="55"/>
    </row>
    <row r="291" spans="1:4">
      <c r="A291" s="55"/>
      <c r="B291" s="55"/>
      <c r="C291" s="55"/>
      <c r="D291" s="55"/>
    </row>
    <row r="292" spans="1:4">
      <c r="A292" s="55"/>
      <c r="B292" s="55"/>
      <c r="C292" s="55"/>
      <c r="D292" s="55"/>
    </row>
    <row r="293" spans="1:4">
      <c r="A293" s="55"/>
      <c r="B293" s="55"/>
      <c r="C293" s="55"/>
      <c r="D293" s="55"/>
    </row>
    <row r="294" spans="1:4">
      <c r="A294" s="55"/>
      <c r="B294" s="55"/>
      <c r="C294" s="55"/>
      <c r="D294" s="55"/>
    </row>
    <row r="295" spans="1:4">
      <c r="A295" s="55"/>
      <c r="B295" s="55"/>
      <c r="C295" s="55"/>
      <c r="D295" s="55"/>
    </row>
    <row r="296" spans="1:4">
      <c r="A296" s="55"/>
      <c r="B296" s="55"/>
      <c r="C296" s="55"/>
      <c r="D296" s="55"/>
    </row>
    <row r="297" spans="1:4">
      <c r="A297" s="55"/>
      <c r="B297" s="55"/>
      <c r="C297" s="55"/>
      <c r="D297" s="55"/>
    </row>
    <row r="298" spans="1:4">
      <c r="A298" s="55"/>
      <c r="B298" s="55"/>
      <c r="C298" s="55"/>
      <c r="D298" s="55"/>
    </row>
    <row r="299" spans="1:4">
      <c r="A299" s="55"/>
      <c r="B299" s="55"/>
      <c r="C299" s="55"/>
      <c r="D299" s="55"/>
    </row>
    <row r="300" spans="1:4">
      <c r="A300" s="55"/>
      <c r="B300" s="55"/>
      <c r="C300" s="55"/>
      <c r="D300" s="55"/>
    </row>
    <row r="301" spans="1:4">
      <c r="A301" s="55"/>
      <c r="B301" s="55"/>
      <c r="C301" s="55"/>
      <c r="D301" s="55"/>
    </row>
    <row r="302" spans="1:4">
      <c r="A302" s="55"/>
      <c r="B302" s="55"/>
      <c r="C302" s="55"/>
      <c r="D302" s="55"/>
    </row>
    <row r="303" spans="1:4">
      <c r="A303" s="55"/>
      <c r="B303" s="55"/>
      <c r="C303" s="55"/>
      <c r="D303" s="55"/>
    </row>
    <row r="304" spans="1:4">
      <c r="A304" s="55"/>
      <c r="B304" s="55"/>
      <c r="C304" s="55"/>
      <c r="D304" s="55"/>
    </row>
    <row r="305" spans="1:4">
      <c r="A305" s="55"/>
      <c r="B305" s="55"/>
      <c r="C305" s="55"/>
      <c r="D305" s="55"/>
    </row>
    <row r="306" spans="1:4">
      <c r="A306" s="55"/>
      <c r="B306" s="55"/>
      <c r="C306" s="55"/>
      <c r="D306" s="55"/>
    </row>
    <row r="307" spans="1:4">
      <c r="A307" s="55"/>
      <c r="B307" s="55"/>
      <c r="C307" s="55"/>
      <c r="D307" s="55"/>
    </row>
    <row r="308" spans="1:4">
      <c r="A308" s="55"/>
      <c r="B308" s="55"/>
      <c r="C308" s="55"/>
      <c r="D308" s="55"/>
    </row>
    <row r="309" spans="1:4">
      <c r="A309" s="55"/>
      <c r="B309" s="55"/>
      <c r="C309" s="55"/>
      <c r="D309" s="55"/>
    </row>
    <row r="310" spans="1:4">
      <c r="A310" s="55"/>
      <c r="B310" s="55"/>
      <c r="C310" s="55"/>
      <c r="D310" s="55"/>
    </row>
    <row r="311" spans="1:4">
      <c r="A311" s="55"/>
      <c r="B311" s="55"/>
      <c r="C311" s="55"/>
      <c r="D311" s="55"/>
    </row>
    <row r="312" spans="1:4">
      <c r="A312" s="55"/>
      <c r="B312" s="55"/>
      <c r="C312" s="55"/>
      <c r="D312" s="55"/>
    </row>
    <row r="313" spans="1:4">
      <c r="A313" s="55"/>
      <c r="B313" s="55"/>
      <c r="C313" s="55"/>
      <c r="D313" s="55"/>
    </row>
    <row r="314" spans="1:4">
      <c r="A314" s="55"/>
      <c r="B314" s="55"/>
      <c r="C314" s="55"/>
      <c r="D314" s="55"/>
    </row>
    <row r="315" spans="1:4">
      <c r="A315" s="55"/>
      <c r="B315" s="55"/>
      <c r="C315" s="55"/>
      <c r="D315" s="55"/>
    </row>
    <row r="316" spans="1:4">
      <c r="A316" s="55"/>
      <c r="B316" s="55"/>
      <c r="C316" s="55"/>
      <c r="D316" s="55"/>
    </row>
    <row r="317" spans="1:4">
      <c r="A317" s="55"/>
      <c r="B317" s="55"/>
      <c r="C317" s="55"/>
      <c r="D317" s="55"/>
    </row>
    <row r="318" spans="1:4">
      <c r="A318" s="55"/>
      <c r="B318" s="55"/>
      <c r="C318" s="55"/>
      <c r="D318" s="55"/>
    </row>
    <row r="319" spans="1:4">
      <c r="A319" s="55"/>
      <c r="B319" s="55"/>
      <c r="C319" s="55"/>
      <c r="D319" s="55"/>
    </row>
    <row r="320" spans="1:4">
      <c r="A320" s="55"/>
      <c r="B320" s="55"/>
      <c r="C320" s="55"/>
      <c r="D320" s="55"/>
    </row>
    <row r="321" spans="1:4">
      <c r="A321" s="55"/>
      <c r="B321" s="55"/>
      <c r="C321" s="55"/>
      <c r="D321" s="55"/>
    </row>
    <row r="322" spans="1:4">
      <c r="A322" s="55"/>
      <c r="B322" s="55"/>
      <c r="C322" s="55"/>
      <c r="D322" s="55"/>
    </row>
    <row r="323" spans="1:4">
      <c r="A323" s="55"/>
      <c r="B323" s="55"/>
      <c r="C323" s="55"/>
      <c r="D323" s="55"/>
    </row>
    <row r="324" spans="1:4">
      <c r="A324" s="55"/>
      <c r="B324" s="55"/>
      <c r="C324" s="55"/>
      <c r="D324" s="55"/>
    </row>
    <row r="325" spans="1:4">
      <c r="A325" s="55"/>
      <c r="B325" s="55"/>
      <c r="C325" s="55"/>
      <c r="D325" s="55"/>
    </row>
    <row r="326" spans="1:4">
      <c r="A326" s="55"/>
      <c r="B326" s="55"/>
      <c r="C326" s="55"/>
      <c r="D326" s="55"/>
    </row>
    <row r="327" spans="1:4">
      <c r="A327" s="55"/>
      <c r="B327" s="55"/>
      <c r="C327" s="55"/>
      <c r="D327" s="55"/>
    </row>
    <row r="328" spans="1:4">
      <c r="A328" s="55"/>
      <c r="B328" s="55"/>
      <c r="C328" s="55"/>
      <c r="D328" s="55"/>
    </row>
    <row r="329" spans="1:4">
      <c r="A329" s="55"/>
      <c r="B329" s="55"/>
      <c r="C329" s="55"/>
      <c r="D329" s="55"/>
    </row>
    <row r="330" spans="1:4">
      <c r="A330" s="55"/>
      <c r="B330" s="55"/>
      <c r="C330" s="55"/>
      <c r="D330" s="55"/>
    </row>
    <row r="331" spans="1:4">
      <c r="A331" s="55"/>
      <c r="B331" s="55"/>
      <c r="C331" s="55"/>
      <c r="D331" s="55"/>
    </row>
    <row r="332" spans="1:4">
      <c r="A332" s="55"/>
      <c r="B332" s="55"/>
      <c r="C332" s="55"/>
      <c r="D332" s="55"/>
    </row>
    <row r="333" spans="1:4">
      <c r="A333" s="55"/>
      <c r="B333" s="55"/>
      <c r="C333" s="55"/>
      <c r="D333" s="55"/>
    </row>
    <row r="334" spans="1:4">
      <c r="A334" s="55"/>
      <c r="B334" s="55"/>
      <c r="C334" s="55"/>
      <c r="D334" s="55"/>
    </row>
    <row r="335" spans="1:4">
      <c r="A335" s="55"/>
      <c r="B335" s="55"/>
      <c r="C335" s="55"/>
      <c r="D335" s="55"/>
    </row>
    <row r="336" spans="1:4">
      <c r="A336" s="55"/>
      <c r="B336" s="55"/>
      <c r="C336" s="55"/>
      <c r="D336" s="55"/>
    </row>
    <row r="337" spans="1:4">
      <c r="A337" s="55"/>
      <c r="B337" s="55"/>
      <c r="C337" s="55"/>
      <c r="D337" s="55"/>
    </row>
    <row r="338" spans="1:4">
      <c r="A338" s="55"/>
      <c r="B338" s="55"/>
      <c r="C338" s="55"/>
      <c r="D338" s="55"/>
    </row>
    <row r="339" spans="1:4">
      <c r="A339" s="55"/>
      <c r="B339" s="55"/>
      <c r="C339" s="55"/>
      <c r="D339" s="55"/>
    </row>
    <row r="340" spans="1:4">
      <c r="A340" s="55"/>
      <c r="B340" s="55"/>
      <c r="C340" s="55"/>
      <c r="D340" s="55"/>
    </row>
    <row r="341" spans="1:4">
      <c r="A341" s="55"/>
      <c r="B341" s="55"/>
      <c r="C341" s="55"/>
      <c r="D341" s="55"/>
    </row>
    <row r="342" spans="1:4">
      <c r="A342" s="55"/>
      <c r="B342" s="55"/>
      <c r="C342" s="55"/>
      <c r="D342" s="55"/>
    </row>
    <row r="343" spans="1:4">
      <c r="A343" s="55"/>
      <c r="B343" s="55"/>
      <c r="C343" s="55"/>
      <c r="D343" s="55"/>
    </row>
    <row r="344" spans="1:4">
      <c r="A344" s="55"/>
      <c r="B344" s="55"/>
      <c r="C344" s="55"/>
      <c r="D344" s="55"/>
    </row>
    <row r="345" spans="1:4">
      <c r="A345" s="55"/>
      <c r="B345" s="55"/>
      <c r="C345" s="55"/>
      <c r="D345" s="55"/>
    </row>
    <row r="346" spans="1:4">
      <c r="A346" s="55"/>
      <c r="B346" s="55"/>
      <c r="C346" s="55"/>
      <c r="D346" s="55"/>
    </row>
    <row r="347" spans="1:4">
      <c r="A347" s="55"/>
      <c r="B347" s="55"/>
      <c r="C347" s="55"/>
      <c r="D347" s="55"/>
    </row>
    <row r="348" spans="1:4">
      <c r="A348" s="55"/>
      <c r="B348" s="55"/>
      <c r="C348" s="55"/>
      <c r="D348" s="55"/>
    </row>
    <row r="349" spans="1:4">
      <c r="A349" s="55"/>
      <c r="B349" s="55"/>
      <c r="C349" s="55"/>
      <c r="D349" s="55"/>
    </row>
    <row r="350" spans="1:4">
      <c r="A350" s="55"/>
      <c r="B350" s="55"/>
      <c r="C350" s="55"/>
      <c r="D350" s="55"/>
    </row>
    <row r="351" spans="1:4">
      <c r="A351" s="55"/>
      <c r="B351" s="55"/>
      <c r="C351" s="55"/>
      <c r="D351" s="55"/>
    </row>
    <row r="352" spans="1:4">
      <c r="A352" s="55"/>
      <c r="B352" s="55"/>
      <c r="C352" s="55"/>
      <c r="D352" s="55"/>
    </row>
    <row r="353" spans="1:4">
      <c r="A353" s="55"/>
      <c r="B353" s="55"/>
      <c r="C353" s="55"/>
      <c r="D353" s="55"/>
    </row>
    <row r="354" spans="1:4">
      <c r="A354" s="55"/>
      <c r="B354" s="55"/>
      <c r="C354" s="55"/>
      <c r="D354" s="55"/>
    </row>
    <row r="355" spans="1:4">
      <c r="A355" s="55"/>
      <c r="B355" s="55"/>
      <c r="C355" s="55"/>
      <c r="D355" s="55"/>
    </row>
    <row r="356" spans="1:4">
      <c r="A356" s="55"/>
      <c r="B356" s="55"/>
      <c r="C356" s="55"/>
      <c r="D356" s="55"/>
    </row>
    <row r="357" spans="1:4">
      <c r="A357" s="55"/>
      <c r="B357" s="55"/>
      <c r="C357" s="55"/>
      <c r="D357" s="55"/>
    </row>
    <row r="358" spans="1:4">
      <c r="A358" s="55"/>
      <c r="B358" s="55"/>
      <c r="C358" s="55"/>
      <c r="D358" s="55"/>
    </row>
    <row r="359" spans="1:4">
      <c r="A359" s="55"/>
      <c r="B359" s="55"/>
      <c r="C359" s="55"/>
      <c r="D359" s="55"/>
    </row>
    <row r="360" spans="1:4">
      <c r="A360" s="55"/>
      <c r="B360" s="55"/>
      <c r="C360" s="55"/>
      <c r="D360" s="55"/>
    </row>
    <row r="361" spans="1:4">
      <c r="A361" s="55"/>
      <c r="B361" s="55"/>
      <c r="C361" s="55"/>
      <c r="D361" s="55"/>
    </row>
    <row r="362" spans="1:4">
      <c r="A362" s="55"/>
      <c r="B362" s="55"/>
      <c r="C362" s="55"/>
      <c r="D362" s="55"/>
    </row>
    <row r="363" spans="1:4">
      <c r="A363" s="55"/>
      <c r="B363" s="55"/>
      <c r="C363" s="55"/>
      <c r="D363" s="55"/>
    </row>
    <row r="364" spans="1:4">
      <c r="A364" s="55"/>
      <c r="B364" s="55"/>
      <c r="C364" s="55"/>
      <c r="D364" s="55"/>
    </row>
    <row r="365" spans="1:4">
      <c r="A365" s="55"/>
      <c r="B365" s="55"/>
      <c r="C365" s="55"/>
      <c r="D365" s="55"/>
    </row>
    <row r="366" spans="1:4">
      <c r="A366" s="55"/>
      <c r="B366" s="55"/>
      <c r="C366" s="55"/>
      <c r="D366" s="55"/>
    </row>
    <row r="367" spans="1:4">
      <c r="A367" s="55"/>
      <c r="B367" s="55"/>
      <c r="C367" s="55"/>
      <c r="D367" s="55"/>
    </row>
    <row r="368" spans="1:4">
      <c r="A368" s="55"/>
      <c r="B368" s="55"/>
      <c r="C368" s="55"/>
      <c r="D368" s="55"/>
    </row>
    <row r="369" spans="1:4">
      <c r="A369" s="55"/>
      <c r="B369" s="55"/>
      <c r="C369" s="55"/>
      <c r="D369" s="55"/>
    </row>
    <row r="370" spans="1:4">
      <c r="A370" s="55"/>
      <c r="B370" s="55"/>
      <c r="C370" s="55"/>
      <c r="D370" s="55"/>
    </row>
    <row r="371" spans="1:4">
      <c r="A371" s="55"/>
      <c r="B371" s="55"/>
      <c r="C371" s="55"/>
      <c r="D371" s="55"/>
    </row>
    <row r="372" spans="1:4">
      <c r="A372" s="55"/>
      <c r="B372" s="55"/>
      <c r="C372" s="55"/>
      <c r="D372" s="55"/>
    </row>
    <row r="373" spans="1:4">
      <c r="A373" s="55"/>
      <c r="B373" s="55"/>
      <c r="C373" s="55"/>
      <c r="D373" s="55"/>
    </row>
    <row r="374" spans="1:4">
      <c r="A374" s="55"/>
      <c r="B374" s="55"/>
      <c r="C374" s="55"/>
      <c r="D374" s="55"/>
    </row>
    <row r="375" spans="1:4">
      <c r="A375" s="55"/>
      <c r="B375" s="55"/>
      <c r="C375" s="55"/>
      <c r="D375" s="55"/>
    </row>
    <row r="376" spans="1:4">
      <c r="A376" s="55"/>
      <c r="B376" s="55"/>
      <c r="C376" s="55"/>
      <c r="D376" s="55"/>
    </row>
    <row r="377" spans="1:4">
      <c r="A377" s="55"/>
      <c r="B377" s="55"/>
      <c r="C377" s="55"/>
      <c r="D377" s="55"/>
    </row>
    <row r="378" spans="1:4">
      <c r="A378" s="55"/>
      <c r="B378" s="55"/>
      <c r="C378" s="55"/>
      <c r="D378" s="55"/>
    </row>
    <row r="379" spans="1:4">
      <c r="A379" s="55"/>
      <c r="B379" s="55"/>
      <c r="C379" s="55"/>
      <c r="D379" s="55"/>
    </row>
    <row r="380" spans="1:4">
      <c r="A380" s="55"/>
      <c r="B380" s="55"/>
      <c r="C380" s="55"/>
      <c r="D380" s="55"/>
    </row>
    <row r="381" spans="1:4">
      <c r="A381" s="55"/>
      <c r="B381" s="55"/>
      <c r="C381" s="55"/>
      <c r="D381" s="55"/>
    </row>
    <row r="382" spans="1:4">
      <c r="A382" s="55"/>
      <c r="B382" s="55"/>
      <c r="C382" s="55"/>
      <c r="D382" s="55"/>
    </row>
    <row r="383" spans="1:4">
      <c r="A383" s="55"/>
      <c r="B383" s="55"/>
      <c r="C383" s="55"/>
      <c r="D383" s="55"/>
    </row>
    <row r="384" spans="1:4">
      <c r="A384" s="55"/>
      <c r="B384" s="55"/>
      <c r="C384" s="55"/>
      <c r="D384" s="55"/>
    </row>
    <row r="385" spans="1:4">
      <c r="A385" s="55"/>
      <c r="B385" s="55"/>
      <c r="C385" s="55"/>
      <c r="D385" s="55"/>
    </row>
    <row r="386" spans="1:4">
      <c r="A386" s="55"/>
      <c r="B386" s="55"/>
      <c r="C386" s="55"/>
      <c r="D386" s="55"/>
    </row>
    <row r="387" spans="1:4">
      <c r="A387" s="55"/>
      <c r="B387" s="55"/>
      <c r="C387" s="55"/>
      <c r="D387" s="55"/>
    </row>
    <row r="388" spans="1:4">
      <c r="A388" s="55"/>
      <c r="B388" s="55"/>
      <c r="C388" s="55"/>
      <c r="D388" s="55"/>
    </row>
    <row r="389" spans="1:4">
      <c r="A389" s="55"/>
      <c r="B389" s="55"/>
      <c r="C389" s="55"/>
      <c r="D389" s="55"/>
    </row>
    <row r="390" spans="1:4">
      <c r="A390" s="55"/>
      <c r="B390" s="55"/>
      <c r="C390" s="55"/>
      <c r="D390" s="55"/>
    </row>
    <row r="391" spans="1:4">
      <c r="A391" s="55"/>
      <c r="B391" s="55"/>
      <c r="C391" s="55"/>
      <c r="D391" s="55"/>
    </row>
    <row r="392" spans="1:4">
      <c r="A392" s="55"/>
      <c r="B392" s="55"/>
      <c r="C392" s="55"/>
      <c r="D392" s="55"/>
    </row>
    <row r="393" spans="1:4">
      <c r="A393" s="55"/>
      <c r="B393" s="55"/>
      <c r="C393" s="55"/>
      <c r="D393" s="55"/>
    </row>
    <row r="394" spans="1:4">
      <c r="A394" s="55"/>
      <c r="B394" s="55"/>
      <c r="C394" s="55"/>
      <c r="D394" s="55"/>
    </row>
    <row r="395" spans="1:4">
      <c r="A395" s="55"/>
      <c r="B395" s="55"/>
      <c r="C395" s="55"/>
      <c r="D395" s="55"/>
    </row>
    <row r="396" spans="1:4">
      <c r="A396" s="55"/>
      <c r="B396" s="55"/>
      <c r="C396" s="55"/>
      <c r="D396" s="55"/>
    </row>
    <row r="397" spans="1:4">
      <c r="A397" s="55"/>
      <c r="B397" s="55"/>
      <c r="C397" s="55"/>
      <c r="D397" s="55"/>
    </row>
    <row r="398" spans="1:4">
      <c r="A398" s="55"/>
      <c r="B398" s="55"/>
      <c r="C398" s="55"/>
      <c r="D398" s="55"/>
    </row>
    <row r="399" spans="1:4">
      <c r="A399" s="55"/>
      <c r="B399" s="55"/>
      <c r="C399" s="55"/>
      <c r="D399" s="55"/>
    </row>
    <row r="400" spans="1:4">
      <c r="A400" s="55"/>
      <c r="B400" s="55"/>
      <c r="C400" s="55"/>
      <c r="D400" s="55"/>
    </row>
    <row r="401" spans="1:4">
      <c r="A401" s="55"/>
      <c r="B401" s="55"/>
      <c r="C401" s="55"/>
      <c r="D401" s="55"/>
    </row>
    <row r="402" spans="1:4">
      <c r="A402" s="55"/>
      <c r="B402" s="55"/>
      <c r="C402" s="55"/>
      <c r="D402" s="55"/>
    </row>
    <row r="403" spans="1:4">
      <c r="A403" s="55"/>
      <c r="B403" s="55"/>
      <c r="C403" s="55"/>
      <c r="D403" s="55"/>
    </row>
    <row r="404" spans="1:4">
      <c r="A404" s="55"/>
      <c r="B404" s="55"/>
      <c r="C404" s="55"/>
      <c r="D404" s="55"/>
    </row>
    <row r="405" spans="1:4">
      <c r="A405" s="55"/>
      <c r="B405" s="55"/>
      <c r="C405" s="55"/>
      <c r="D405" s="55"/>
    </row>
    <row r="406" spans="1:4">
      <c r="A406" s="55"/>
      <c r="B406" s="55"/>
      <c r="C406" s="55"/>
      <c r="D406" s="55"/>
    </row>
    <row r="407" spans="1:4">
      <c r="A407" s="55"/>
      <c r="B407" s="55"/>
      <c r="C407" s="55"/>
      <c r="D407" s="55"/>
    </row>
    <row r="408" spans="1:4">
      <c r="A408" s="55"/>
      <c r="B408" s="55"/>
      <c r="C408" s="55"/>
      <c r="D408" s="55"/>
    </row>
    <row r="409" spans="1:4">
      <c r="A409" s="55"/>
      <c r="B409" s="55"/>
      <c r="C409" s="55"/>
      <c r="D409" s="55"/>
    </row>
    <row r="410" spans="1:4">
      <c r="A410" s="55"/>
      <c r="B410" s="55"/>
      <c r="C410" s="55"/>
      <c r="D410" s="55"/>
    </row>
    <row r="411" spans="1:4">
      <c r="A411" s="55"/>
      <c r="B411" s="55"/>
      <c r="C411" s="55"/>
      <c r="D411" s="55"/>
    </row>
    <row r="412" spans="1:4">
      <c r="A412" s="55"/>
      <c r="B412" s="55"/>
      <c r="C412" s="55"/>
      <c r="D412" s="55"/>
    </row>
    <row r="413" spans="1:4">
      <c r="A413" s="55"/>
      <c r="B413" s="55"/>
      <c r="C413" s="55"/>
      <c r="D413" s="55"/>
    </row>
    <row r="414" spans="1:4">
      <c r="A414" s="55"/>
      <c r="B414" s="55"/>
      <c r="C414" s="55"/>
      <c r="D414" s="55"/>
    </row>
    <row r="415" spans="1:4">
      <c r="A415" s="55"/>
      <c r="B415" s="55"/>
      <c r="C415" s="55"/>
      <c r="D415" s="55"/>
    </row>
    <row r="416" spans="1:4">
      <c r="A416" s="55"/>
      <c r="B416" s="55"/>
      <c r="C416" s="55"/>
      <c r="D416" s="55"/>
    </row>
    <row r="417" spans="1:4">
      <c r="A417" s="55"/>
      <c r="B417" s="55"/>
      <c r="C417" s="55"/>
      <c r="D417" s="55"/>
    </row>
    <row r="418" spans="1:4">
      <c r="A418" s="55"/>
      <c r="B418" s="55"/>
      <c r="C418" s="55"/>
      <c r="D418" s="55"/>
    </row>
    <row r="419" spans="1:4">
      <c r="A419" s="55"/>
      <c r="B419" s="55"/>
      <c r="C419" s="55"/>
      <c r="D419" s="55"/>
    </row>
    <row r="420" spans="1:4">
      <c r="A420" s="55"/>
      <c r="B420" s="55"/>
      <c r="C420" s="55"/>
      <c r="D420" s="55"/>
    </row>
    <row r="421" spans="1:4">
      <c r="A421" s="55"/>
      <c r="B421" s="55"/>
      <c r="C421" s="55"/>
      <c r="D421" s="55"/>
    </row>
    <row r="422" spans="1:4">
      <c r="A422" s="55"/>
      <c r="B422" s="55"/>
      <c r="C422" s="55"/>
      <c r="D422" s="55"/>
    </row>
    <row r="423" spans="1:4">
      <c r="A423" s="55"/>
      <c r="B423" s="55"/>
      <c r="C423" s="55"/>
      <c r="D423" s="55"/>
    </row>
    <row r="424" spans="1:4">
      <c r="A424" s="55"/>
      <c r="B424" s="55"/>
      <c r="C424" s="55"/>
      <c r="D424" s="55"/>
    </row>
    <row r="425" spans="1:4">
      <c r="A425" s="55"/>
      <c r="B425" s="55"/>
      <c r="C425" s="55"/>
      <c r="D425" s="55"/>
    </row>
    <row r="426" spans="1:4">
      <c r="A426" s="55"/>
      <c r="B426" s="55"/>
      <c r="C426" s="55"/>
      <c r="D426" s="55"/>
    </row>
    <row r="427" spans="1:4">
      <c r="A427" s="55"/>
      <c r="B427" s="55"/>
      <c r="C427" s="55"/>
      <c r="D427" s="55"/>
    </row>
    <row r="428" spans="1:4">
      <c r="A428" s="55"/>
      <c r="B428" s="55"/>
      <c r="C428" s="55"/>
      <c r="D428" s="55"/>
    </row>
    <row r="429" spans="1:4">
      <c r="A429" s="55"/>
      <c r="B429" s="55"/>
      <c r="C429" s="55"/>
      <c r="D429" s="55"/>
    </row>
    <row r="430" spans="1:4">
      <c r="A430" s="55"/>
      <c r="B430" s="55"/>
      <c r="C430" s="55"/>
      <c r="D430" s="55"/>
    </row>
    <row r="431" spans="1:4">
      <c r="A431" s="55"/>
      <c r="B431" s="55"/>
      <c r="C431" s="55"/>
      <c r="D431" s="55"/>
    </row>
    <row r="432" spans="1:4">
      <c r="A432" s="55"/>
      <c r="B432" s="55"/>
      <c r="C432" s="55"/>
      <c r="D432" s="55"/>
    </row>
    <row r="433" spans="1:4">
      <c r="A433" s="55"/>
      <c r="B433" s="55"/>
      <c r="C433" s="55"/>
      <c r="D433" s="55"/>
    </row>
    <row r="434" spans="1:4">
      <c r="A434" s="55"/>
      <c r="B434" s="55"/>
      <c r="C434" s="55"/>
      <c r="D434" s="55"/>
    </row>
    <row r="435" spans="1:4">
      <c r="A435" s="55"/>
      <c r="B435" s="55"/>
      <c r="C435" s="55"/>
      <c r="D435" s="55"/>
    </row>
    <row r="436" spans="1:4">
      <c r="A436" s="55"/>
      <c r="B436" s="55"/>
      <c r="C436" s="55"/>
      <c r="D436" s="55"/>
    </row>
    <row r="437" spans="1:4">
      <c r="A437" s="55"/>
      <c r="B437" s="55"/>
      <c r="C437" s="55"/>
      <c r="D437" s="55"/>
    </row>
    <row r="438" spans="1:4">
      <c r="A438" s="55"/>
      <c r="B438" s="55"/>
      <c r="C438" s="55"/>
      <c r="D438" s="55"/>
    </row>
    <row r="439" spans="1:4">
      <c r="A439" s="55"/>
      <c r="B439" s="55"/>
      <c r="C439" s="55"/>
      <c r="D439" s="55"/>
    </row>
    <row r="440" spans="1:4">
      <c r="A440" s="55"/>
      <c r="B440" s="55"/>
      <c r="C440" s="55"/>
      <c r="D440" s="55"/>
    </row>
    <row r="441" spans="1:4">
      <c r="A441" s="55"/>
      <c r="B441" s="55"/>
      <c r="C441" s="55"/>
      <c r="D441" s="55"/>
    </row>
    <row r="442" spans="1:4">
      <c r="A442" s="55"/>
      <c r="B442" s="55"/>
      <c r="C442" s="55"/>
      <c r="D442" s="55"/>
    </row>
    <row r="443" spans="1:4">
      <c r="A443" s="55"/>
      <c r="B443" s="55"/>
      <c r="C443" s="55"/>
      <c r="D443" s="55"/>
    </row>
    <row r="444" spans="1:4">
      <c r="A444" s="55"/>
      <c r="B444" s="55"/>
      <c r="C444" s="55"/>
      <c r="D444" s="55"/>
    </row>
    <row r="445" spans="1:4">
      <c r="A445" s="55"/>
      <c r="B445" s="55"/>
      <c r="C445" s="55"/>
      <c r="D445" s="55"/>
    </row>
    <row r="446" spans="1:4">
      <c r="A446" s="55"/>
      <c r="B446" s="55"/>
      <c r="C446" s="55"/>
      <c r="D446" s="55"/>
    </row>
    <row r="447" spans="1:4">
      <c r="A447" s="55"/>
      <c r="B447" s="55"/>
      <c r="C447" s="55"/>
      <c r="D447" s="55"/>
    </row>
    <row r="448" spans="1:4">
      <c r="A448" s="55"/>
      <c r="B448" s="55"/>
      <c r="C448" s="55"/>
      <c r="D448" s="55"/>
    </row>
    <row r="449" spans="1:4">
      <c r="A449" s="55"/>
      <c r="B449" s="55"/>
      <c r="C449" s="55"/>
      <c r="D449" s="55"/>
    </row>
    <row r="450" spans="1:4">
      <c r="A450" s="55"/>
      <c r="B450" s="55"/>
      <c r="C450" s="55"/>
      <c r="D450" s="55"/>
    </row>
    <row r="451" spans="1:4">
      <c r="A451" s="55"/>
      <c r="B451" s="55"/>
      <c r="C451" s="55"/>
      <c r="D451" s="55"/>
    </row>
    <row r="452" spans="1:4">
      <c r="A452" s="55"/>
      <c r="B452" s="55"/>
      <c r="C452" s="55"/>
      <c r="D452" s="55"/>
    </row>
    <row r="453" spans="1:4">
      <c r="A453" s="55"/>
      <c r="B453" s="55"/>
      <c r="C453" s="55"/>
      <c r="D453" s="55"/>
    </row>
    <row r="454" spans="1:4">
      <c r="A454" s="55"/>
      <c r="B454" s="55"/>
      <c r="C454" s="55"/>
      <c r="D454" s="55"/>
    </row>
    <row r="455" spans="1:4">
      <c r="A455" s="55"/>
      <c r="B455" s="55"/>
      <c r="C455" s="55"/>
      <c r="D455" s="55"/>
    </row>
    <row r="456" spans="1:4">
      <c r="A456" s="55"/>
      <c r="B456" s="55"/>
      <c r="C456" s="55"/>
      <c r="D456" s="55"/>
    </row>
    <row r="457" spans="1:4">
      <c r="A457" s="55"/>
      <c r="B457" s="55"/>
      <c r="C457" s="55"/>
      <c r="D457" s="55"/>
    </row>
    <row r="458" spans="1:4">
      <c r="A458" s="55"/>
      <c r="B458" s="55"/>
      <c r="C458" s="55"/>
      <c r="D458" s="55"/>
    </row>
    <row r="459" spans="1:4">
      <c r="A459" s="55"/>
      <c r="B459" s="55"/>
      <c r="C459" s="55"/>
      <c r="D459" s="55"/>
    </row>
    <row r="460" spans="1:4">
      <c r="A460" s="55"/>
      <c r="B460" s="55"/>
      <c r="C460" s="55"/>
      <c r="D460" s="55"/>
    </row>
    <row r="461" spans="1:4">
      <c r="A461" s="55"/>
      <c r="B461" s="55"/>
      <c r="C461" s="55"/>
      <c r="D461" s="55"/>
    </row>
    <row r="462" spans="1:4">
      <c r="A462" s="55"/>
      <c r="B462" s="55"/>
      <c r="C462" s="55"/>
      <c r="D462" s="55"/>
    </row>
    <row r="463" spans="1:4">
      <c r="A463" s="55"/>
      <c r="B463" s="55"/>
      <c r="C463" s="55"/>
      <c r="D463" s="55"/>
    </row>
    <row r="464" spans="1:4">
      <c r="A464" s="55"/>
      <c r="B464" s="55"/>
      <c r="C464" s="55"/>
      <c r="D464" s="55"/>
    </row>
    <row r="465" spans="1:4">
      <c r="A465" s="55"/>
      <c r="B465" s="55"/>
      <c r="C465" s="55"/>
      <c r="D465" s="55"/>
    </row>
    <row r="466" spans="1:4">
      <c r="A466" s="55"/>
      <c r="B466" s="55"/>
      <c r="C466" s="55"/>
      <c r="D466" s="55"/>
    </row>
    <row r="467" spans="1:4">
      <c r="A467" s="55"/>
      <c r="B467" s="55"/>
      <c r="C467" s="55"/>
      <c r="D467" s="55"/>
    </row>
    <row r="468" spans="1:4">
      <c r="A468" s="55"/>
      <c r="B468" s="55"/>
      <c r="C468" s="55"/>
      <c r="D468" s="55"/>
    </row>
    <row r="469" spans="1:4">
      <c r="A469" s="55"/>
      <c r="B469" s="55"/>
      <c r="C469" s="55"/>
      <c r="D469" s="55"/>
    </row>
    <row r="470" spans="1:4">
      <c r="A470" s="55"/>
      <c r="B470" s="55"/>
      <c r="C470" s="55"/>
      <c r="D470" s="55"/>
    </row>
    <row r="471" spans="1:4">
      <c r="A471" s="55"/>
      <c r="B471" s="55"/>
      <c r="C471" s="55"/>
      <c r="D471" s="55"/>
    </row>
    <row r="472" spans="1:4">
      <c r="A472" s="55"/>
      <c r="B472" s="55"/>
      <c r="C472" s="55"/>
      <c r="D472" s="55"/>
    </row>
    <row r="473" spans="1:4">
      <c r="A473" s="55"/>
      <c r="B473" s="55"/>
      <c r="C473" s="55"/>
      <c r="D473" s="55"/>
    </row>
    <row r="474" spans="1:4">
      <c r="A474" s="55"/>
      <c r="B474" s="55"/>
      <c r="C474" s="55"/>
      <c r="D474" s="55"/>
    </row>
    <row r="475" spans="1:4">
      <c r="A475" s="55"/>
      <c r="B475" s="55"/>
      <c r="C475" s="55"/>
      <c r="D475" s="55"/>
    </row>
    <row r="476" spans="1:4">
      <c r="A476" s="55"/>
      <c r="B476" s="55"/>
      <c r="C476" s="55"/>
      <c r="D476" s="55"/>
    </row>
    <row r="477" spans="1:4">
      <c r="A477" s="55"/>
      <c r="B477" s="55"/>
      <c r="C477" s="55"/>
      <c r="D477" s="55"/>
    </row>
    <row r="478" spans="1:4">
      <c r="A478" s="55"/>
      <c r="B478" s="55"/>
      <c r="C478" s="55"/>
      <c r="D478" s="55"/>
    </row>
    <row r="479" spans="1:4">
      <c r="A479" s="55"/>
      <c r="B479" s="55"/>
      <c r="C479" s="55"/>
      <c r="D479" s="55"/>
    </row>
    <row r="480" spans="1:4">
      <c r="A480" s="55"/>
      <c r="B480" s="55"/>
      <c r="C480" s="55"/>
      <c r="D480" s="55"/>
    </row>
    <row r="481" spans="1:4">
      <c r="A481" s="55"/>
      <c r="B481" s="55"/>
      <c r="C481" s="55"/>
      <c r="D481" s="55"/>
    </row>
    <row r="482" spans="1:4">
      <c r="A482" s="55"/>
      <c r="B482" s="55"/>
      <c r="C482" s="55"/>
      <c r="D482" s="55"/>
    </row>
    <row r="483" spans="1:4">
      <c r="A483" s="55"/>
      <c r="B483" s="55"/>
      <c r="C483" s="55"/>
      <c r="D483" s="55"/>
    </row>
    <row r="484" spans="1:4">
      <c r="A484" s="55"/>
      <c r="B484" s="55"/>
      <c r="C484" s="55"/>
      <c r="D484" s="55"/>
    </row>
    <row r="485" spans="1:4">
      <c r="A485" s="55"/>
      <c r="B485" s="55"/>
      <c r="C485" s="55"/>
      <c r="D485" s="55"/>
    </row>
    <row r="486" spans="1:4">
      <c r="A486" s="55"/>
      <c r="B486" s="55"/>
      <c r="C486" s="55"/>
      <c r="D486" s="55"/>
    </row>
    <row r="487" spans="1:4">
      <c r="A487" s="55"/>
      <c r="B487" s="55"/>
      <c r="C487" s="55"/>
      <c r="D487" s="55"/>
    </row>
    <row r="488" spans="1:4">
      <c r="A488" s="55"/>
      <c r="B488" s="55"/>
      <c r="C488" s="55"/>
      <c r="D488" s="55"/>
    </row>
    <row r="489" spans="1:4">
      <c r="A489" s="55"/>
      <c r="B489" s="55"/>
      <c r="C489" s="55"/>
      <c r="D489" s="55"/>
    </row>
    <row r="490" spans="1:4">
      <c r="A490" s="55"/>
      <c r="B490" s="55"/>
      <c r="C490" s="55"/>
      <c r="D490" s="55"/>
    </row>
    <row r="491" spans="1:4">
      <c r="A491" s="55"/>
      <c r="B491" s="55"/>
      <c r="C491" s="55"/>
      <c r="D491" s="55"/>
    </row>
    <row r="492" spans="1:4">
      <c r="A492" s="55"/>
      <c r="B492" s="55"/>
      <c r="C492" s="55"/>
      <c r="D492" s="55"/>
    </row>
    <row r="493" spans="1:4">
      <c r="A493" s="55"/>
      <c r="B493" s="55"/>
      <c r="C493" s="55"/>
      <c r="D493" s="55"/>
    </row>
    <row r="494" spans="1:4">
      <c r="A494" s="55"/>
      <c r="B494" s="55"/>
      <c r="C494" s="55"/>
      <c r="D494" s="55"/>
    </row>
    <row r="495" spans="1:4">
      <c r="A495" s="55"/>
      <c r="B495" s="55"/>
      <c r="C495" s="55"/>
      <c r="D495" s="55"/>
    </row>
    <row r="496" spans="1:4">
      <c r="A496" s="55"/>
      <c r="B496" s="55"/>
      <c r="C496" s="55"/>
      <c r="D496" s="55"/>
    </row>
    <row r="497" spans="1:4">
      <c r="A497" s="55"/>
      <c r="B497" s="55"/>
      <c r="C497" s="55"/>
      <c r="D497" s="55"/>
    </row>
    <row r="498" spans="1:4">
      <c r="A498" s="55"/>
      <c r="B498" s="55"/>
      <c r="C498" s="55"/>
      <c r="D498" s="55"/>
    </row>
    <row r="499" spans="1:4">
      <c r="A499" s="55"/>
      <c r="B499" s="55"/>
      <c r="C499" s="55"/>
      <c r="D499" s="55"/>
    </row>
    <row r="500" spans="1:4">
      <c r="A500" s="55"/>
      <c r="B500" s="55"/>
      <c r="C500" s="55"/>
      <c r="D500" s="55"/>
    </row>
    <row r="501" spans="1:4">
      <c r="A501" s="55"/>
      <c r="B501" s="55"/>
      <c r="C501" s="55"/>
      <c r="D501" s="55"/>
    </row>
    <row r="502" spans="1:4">
      <c r="A502" s="55"/>
      <c r="B502" s="55"/>
      <c r="C502" s="55"/>
      <c r="D502" s="55"/>
    </row>
    <row r="503" spans="1:4">
      <c r="A503" s="55"/>
      <c r="B503" s="55"/>
      <c r="C503" s="55"/>
      <c r="D503" s="55"/>
    </row>
    <row r="504" spans="1:4">
      <c r="A504" s="55"/>
      <c r="B504" s="55"/>
      <c r="C504" s="55"/>
      <c r="D504" s="55"/>
    </row>
    <row r="505" spans="1:4">
      <c r="A505" s="55"/>
      <c r="B505" s="55"/>
      <c r="C505" s="55"/>
      <c r="D505" s="55"/>
    </row>
    <row r="506" spans="1:4">
      <c r="A506" s="55"/>
      <c r="B506" s="55"/>
      <c r="C506" s="55"/>
      <c r="D506" s="55"/>
    </row>
    <row r="507" spans="1:4">
      <c r="A507" s="55"/>
      <c r="B507" s="55"/>
      <c r="C507" s="55"/>
      <c r="D507" s="55"/>
    </row>
    <row r="508" spans="1:4">
      <c r="A508" s="55"/>
      <c r="B508" s="55"/>
      <c r="C508" s="55"/>
      <c r="D508" s="55"/>
    </row>
    <row r="509" spans="1:4">
      <c r="A509" s="55"/>
      <c r="B509" s="55"/>
      <c r="C509" s="55"/>
      <c r="D509" s="55"/>
    </row>
    <row r="510" spans="1:4">
      <c r="A510" s="55"/>
      <c r="B510" s="55"/>
      <c r="C510" s="55"/>
      <c r="D510" s="55"/>
    </row>
    <row r="511" spans="1:4">
      <c r="A511" s="55"/>
      <c r="B511" s="55"/>
      <c r="C511" s="55"/>
      <c r="D511" s="55"/>
    </row>
    <row r="512" spans="1:4">
      <c r="A512" s="55"/>
      <c r="B512" s="55"/>
      <c r="C512" s="55"/>
      <c r="D512" s="55"/>
    </row>
    <row r="513" spans="1:4">
      <c r="A513" s="55"/>
      <c r="B513" s="55"/>
      <c r="C513" s="55"/>
      <c r="D513" s="55"/>
    </row>
    <row r="514" spans="1:4">
      <c r="A514" s="55"/>
      <c r="B514" s="55"/>
      <c r="C514" s="55"/>
      <c r="D514" s="55"/>
    </row>
    <row r="515" spans="1:4">
      <c r="A515" s="55"/>
      <c r="B515" s="55"/>
      <c r="C515" s="55"/>
      <c r="D515" s="55"/>
    </row>
    <row r="516" spans="1:4">
      <c r="A516" s="55"/>
      <c r="B516" s="55"/>
      <c r="C516" s="55"/>
      <c r="D516" s="55"/>
    </row>
    <row r="517" spans="1:4">
      <c r="A517" s="55"/>
      <c r="B517" s="55"/>
      <c r="C517" s="55"/>
      <c r="D517" s="55"/>
    </row>
    <row r="518" spans="1:4">
      <c r="A518" s="55"/>
      <c r="B518" s="55"/>
      <c r="C518" s="55"/>
      <c r="D518" s="55"/>
    </row>
    <row r="519" spans="1:4">
      <c r="A519" s="55"/>
      <c r="B519" s="55"/>
      <c r="C519" s="55"/>
      <c r="D519" s="55"/>
    </row>
    <row r="520" spans="1:4">
      <c r="A520" s="55"/>
      <c r="B520" s="55"/>
      <c r="C520" s="55"/>
      <c r="D520" s="55"/>
    </row>
    <row r="521" spans="1:4">
      <c r="A521" s="55"/>
      <c r="B521" s="55"/>
      <c r="C521" s="55"/>
      <c r="D521" s="55"/>
    </row>
    <row r="522" spans="1:4">
      <c r="A522" s="55"/>
      <c r="B522" s="55"/>
      <c r="C522" s="55"/>
      <c r="D522" s="55"/>
    </row>
    <row r="523" spans="1:4">
      <c r="A523" s="55"/>
      <c r="B523" s="55"/>
      <c r="C523" s="55"/>
      <c r="D523" s="55"/>
    </row>
    <row r="524" spans="1:4">
      <c r="A524" s="55"/>
      <c r="B524" s="55"/>
      <c r="C524" s="55"/>
      <c r="D524" s="55"/>
    </row>
    <row r="525" spans="1:4">
      <c r="A525" s="55"/>
      <c r="B525" s="55"/>
      <c r="C525" s="55"/>
      <c r="D525" s="55"/>
    </row>
    <row r="526" spans="1:4">
      <c r="A526" s="55"/>
      <c r="B526" s="55"/>
      <c r="C526" s="55"/>
      <c r="D526" s="55"/>
    </row>
    <row r="527" spans="1:4">
      <c r="A527" s="55"/>
      <c r="B527" s="55"/>
      <c r="C527" s="55"/>
      <c r="D527" s="55"/>
    </row>
    <row r="528" spans="1:4">
      <c r="A528" s="55"/>
      <c r="B528" s="55"/>
      <c r="C528" s="55"/>
      <c r="D528" s="55"/>
    </row>
    <row r="529" spans="1:4">
      <c r="A529" s="55"/>
      <c r="B529" s="55"/>
      <c r="C529" s="55"/>
      <c r="D529" s="55"/>
    </row>
    <row r="530" spans="1:4">
      <c r="A530" s="55"/>
      <c r="B530" s="55"/>
      <c r="C530" s="55"/>
      <c r="D530" s="55"/>
    </row>
    <row r="531" spans="1:4">
      <c r="A531" s="55"/>
      <c r="B531" s="55"/>
      <c r="C531" s="55"/>
      <c r="D531" s="55"/>
    </row>
    <row r="532" spans="1:4">
      <c r="A532" s="55"/>
      <c r="B532" s="55"/>
      <c r="C532" s="55"/>
      <c r="D532" s="55"/>
    </row>
    <row r="533" spans="1:4">
      <c r="A533" s="55"/>
      <c r="B533" s="55"/>
      <c r="C533" s="55"/>
      <c r="D533" s="55"/>
    </row>
    <row r="534" spans="1:4">
      <c r="A534" s="55"/>
      <c r="B534" s="55"/>
      <c r="C534" s="55"/>
      <c r="D534" s="55"/>
    </row>
    <row r="535" spans="1:4">
      <c r="A535" s="55"/>
      <c r="B535" s="55"/>
      <c r="C535" s="55"/>
      <c r="D535" s="55"/>
    </row>
    <row r="536" spans="1:4">
      <c r="A536" s="55"/>
      <c r="B536" s="55"/>
      <c r="C536" s="55"/>
      <c r="D536" s="55"/>
    </row>
    <row r="537" spans="1:4">
      <c r="A537" s="55"/>
      <c r="B537" s="55"/>
      <c r="C537" s="55"/>
      <c r="D537" s="55"/>
    </row>
    <row r="538" spans="1:4">
      <c r="A538" s="55"/>
      <c r="B538" s="55"/>
      <c r="C538" s="55"/>
      <c r="D538" s="55"/>
    </row>
    <row r="539" spans="1:4">
      <c r="A539" s="55"/>
      <c r="B539" s="55"/>
      <c r="C539" s="55"/>
      <c r="D539" s="55"/>
    </row>
    <row r="540" spans="1:4">
      <c r="A540" s="55"/>
      <c r="B540" s="55"/>
      <c r="C540" s="55"/>
      <c r="D540" s="55"/>
    </row>
    <row r="541" spans="1:4">
      <c r="A541" s="55"/>
      <c r="B541" s="55"/>
      <c r="C541" s="55"/>
      <c r="D541" s="55"/>
    </row>
    <row r="542" spans="1:4">
      <c r="A542" s="55"/>
      <c r="B542" s="55"/>
      <c r="C542" s="55"/>
      <c r="D542" s="55"/>
    </row>
    <row r="543" spans="1:4">
      <c r="A543" s="55"/>
      <c r="B543" s="55"/>
      <c r="C543" s="55"/>
      <c r="D543" s="55"/>
    </row>
    <row r="544" spans="1:4">
      <c r="A544" s="55"/>
      <c r="B544" s="55"/>
      <c r="C544" s="55"/>
      <c r="D544" s="55"/>
    </row>
    <row r="545" spans="1:4">
      <c r="A545" s="55"/>
      <c r="B545" s="55"/>
      <c r="C545" s="55"/>
      <c r="D545" s="55"/>
    </row>
    <row r="546" spans="1:4">
      <c r="A546" s="55"/>
      <c r="B546" s="55"/>
      <c r="C546" s="55"/>
      <c r="D546" s="55"/>
    </row>
    <row r="547" spans="1:4">
      <c r="A547" s="55"/>
      <c r="B547" s="55"/>
      <c r="C547" s="55"/>
      <c r="D547" s="55"/>
    </row>
    <row r="548" spans="1:4">
      <c r="A548" s="55"/>
      <c r="B548" s="55"/>
      <c r="C548" s="55"/>
      <c r="D548" s="55"/>
    </row>
    <row r="549" spans="1:4">
      <c r="A549" s="55"/>
      <c r="B549" s="55"/>
      <c r="C549" s="55"/>
      <c r="D549" s="55"/>
    </row>
    <row r="550" spans="1:4">
      <c r="A550" s="55"/>
      <c r="B550" s="55"/>
      <c r="C550" s="55"/>
      <c r="D550" s="55"/>
    </row>
    <row r="551" spans="1:4">
      <c r="A551" s="55"/>
      <c r="B551" s="55"/>
      <c r="C551" s="55"/>
      <c r="D551" s="55"/>
    </row>
    <row r="552" spans="1:4">
      <c r="A552" s="55"/>
      <c r="B552" s="55"/>
      <c r="C552" s="55"/>
      <c r="D552" s="55"/>
    </row>
    <row r="553" spans="1:4">
      <c r="A553" s="55"/>
      <c r="B553" s="55"/>
      <c r="C553" s="55"/>
      <c r="D553" s="55"/>
    </row>
    <row r="554" spans="1:4">
      <c r="A554" s="55"/>
      <c r="B554" s="55"/>
      <c r="C554" s="55"/>
      <c r="D554" s="55"/>
    </row>
    <row r="555" spans="1:4">
      <c r="A555" s="55"/>
      <c r="B555" s="55"/>
      <c r="C555" s="55"/>
      <c r="D555" s="55"/>
    </row>
    <row r="556" spans="1:4">
      <c r="A556" s="55"/>
      <c r="B556" s="55"/>
      <c r="C556" s="55"/>
      <c r="D556" s="55"/>
    </row>
    <row r="557" spans="1:4">
      <c r="A557" s="55"/>
      <c r="B557" s="55"/>
      <c r="C557" s="55"/>
      <c r="D557" s="55"/>
    </row>
    <row r="558" spans="1:4">
      <c r="A558" s="55"/>
      <c r="B558" s="55"/>
      <c r="C558" s="55"/>
      <c r="D558" s="55"/>
    </row>
    <row r="559" spans="1:4">
      <c r="A559" s="55"/>
      <c r="B559" s="55"/>
      <c r="C559" s="55"/>
      <c r="D559" s="55"/>
    </row>
    <row r="560" spans="1:4">
      <c r="A560" s="55"/>
      <c r="B560" s="55"/>
      <c r="C560" s="55"/>
      <c r="D560" s="55"/>
    </row>
    <row r="561" spans="1:4">
      <c r="A561" s="55"/>
      <c r="B561" s="55"/>
      <c r="C561" s="55"/>
      <c r="D561" s="55"/>
    </row>
    <row r="562" spans="1:4">
      <c r="A562" s="55"/>
      <c r="B562" s="55"/>
      <c r="C562" s="55"/>
      <c r="D562" s="55"/>
    </row>
    <row r="563" spans="1:4">
      <c r="A563" s="55"/>
      <c r="B563" s="55"/>
      <c r="C563" s="55"/>
      <c r="D563" s="55"/>
    </row>
    <row r="564" spans="1:4">
      <c r="A564" s="55"/>
      <c r="B564" s="55"/>
      <c r="C564" s="55"/>
      <c r="D564" s="55"/>
    </row>
    <row r="565" spans="1:4">
      <c r="A565" s="55"/>
      <c r="B565" s="55"/>
      <c r="C565" s="55"/>
      <c r="D565" s="55"/>
    </row>
    <row r="566" spans="1:4">
      <c r="A566" s="55"/>
      <c r="B566" s="55"/>
      <c r="C566" s="55"/>
      <c r="D566" s="55"/>
    </row>
    <row r="567" spans="1:4">
      <c r="A567" s="55"/>
      <c r="B567" s="55"/>
      <c r="C567" s="55"/>
      <c r="D567" s="55"/>
    </row>
    <row r="568" spans="1:4">
      <c r="A568" s="55"/>
      <c r="B568" s="55"/>
      <c r="C568" s="55"/>
      <c r="D568" s="55"/>
    </row>
    <row r="569" spans="1:4">
      <c r="A569" s="55"/>
      <c r="B569" s="55"/>
      <c r="C569" s="55"/>
      <c r="D569" s="55"/>
    </row>
    <row r="570" spans="1:4">
      <c r="A570" s="55"/>
      <c r="B570" s="55"/>
      <c r="C570" s="55"/>
      <c r="D570" s="55"/>
    </row>
    <row r="571" spans="1:4">
      <c r="A571" s="55"/>
      <c r="B571" s="55"/>
      <c r="C571" s="55"/>
      <c r="D571" s="55"/>
    </row>
    <row r="572" spans="1:4">
      <c r="A572" s="55"/>
      <c r="B572" s="55"/>
      <c r="C572" s="55"/>
      <c r="D572" s="55"/>
    </row>
    <row r="573" spans="1:4">
      <c r="A573" s="55"/>
      <c r="B573" s="55"/>
      <c r="C573" s="55"/>
      <c r="D573" s="55"/>
    </row>
    <row r="574" spans="1:4">
      <c r="A574" s="55"/>
      <c r="B574" s="55"/>
      <c r="C574" s="55"/>
      <c r="D574" s="55"/>
    </row>
    <row r="575" spans="1:4">
      <c r="A575" s="55"/>
      <c r="B575" s="55"/>
      <c r="C575" s="55"/>
      <c r="D575" s="55"/>
    </row>
    <row r="576" spans="1:4">
      <c r="A576" s="55"/>
      <c r="B576" s="55"/>
      <c r="C576" s="55"/>
      <c r="D576" s="55"/>
    </row>
    <row r="577" spans="1:4">
      <c r="A577" s="55"/>
      <c r="B577" s="55"/>
      <c r="C577" s="55"/>
      <c r="D577" s="55"/>
    </row>
    <row r="578" spans="1:4">
      <c r="A578" s="55"/>
      <c r="B578" s="55"/>
      <c r="C578" s="55"/>
      <c r="D578" s="55"/>
    </row>
    <row r="579" spans="1:4">
      <c r="A579" s="55"/>
      <c r="B579" s="55"/>
      <c r="C579" s="55"/>
      <c r="D579" s="55"/>
    </row>
    <row r="580" spans="1:4">
      <c r="A580" s="55"/>
      <c r="B580" s="55"/>
      <c r="C580" s="55"/>
      <c r="D580" s="55"/>
    </row>
    <row r="581" spans="1:4">
      <c r="A581" s="55"/>
      <c r="B581" s="55"/>
      <c r="C581" s="55"/>
      <c r="D581" s="55"/>
    </row>
    <row r="582" spans="1:4">
      <c r="A582" s="55"/>
      <c r="B582" s="55"/>
      <c r="C582" s="55"/>
      <c r="D582" s="55"/>
    </row>
    <row r="583" spans="1:4">
      <c r="A583" s="55"/>
      <c r="B583" s="55"/>
      <c r="C583" s="55"/>
      <c r="D583" s="55"/>
    </row>
    <row r="584" spans="1:4">
      <c r="A584" s="55"/>
      <c r="B584" s="55"/>
      <c r="C584" s="55"/>
      <c r="D584" s="55"/>
    </row>
    <row r="585" spans="1:4">
      <c r="A585" s="55"/>
      <c r="B585" s="55"/>
      <c r="C585" s="55"/>
      <c r="D585" s="55"/>
    </row>
    <row r="586" spans="1:4">
      <c r="A586" s="55"/>
      <c r="B586" s="55"/>
      <c r="C586" s="55"/>
      <c r="D586" s="55"/>
    </row>
    <row r="587" spans="1:4">
      <c r="A587" s="55"/>
      <c r="B587" s="55"/>
      <c r="C587" s="55"/>
      <c r="D587" s="55"/>
    </row>
    <row r="588" spans="1:4">
      <c r="A588" s="55"/>
      <c r="B588" s="55"/>
      <c r="C588" s="55"/>
      <c r="D588" s="55"/>
    </row>
    <row r="589" spans="1:4">
      <c r="A589" s="55"/>
      <c r="B589" s="55"/>
      <c r="C589" s="55"/>
      <c r="D589" s="55"/>
    </row>
    <row r="590" spans="1:4">
      <c r="A590" s="55"/>
      <c r="B590" s="55"/>
      <c r="C590" s="55"/>
      <c r="D590" s="55"/>
    </row>
    <row r="591" spans="1:4">
      <c r="A591" s="55"/>
      <c r="B591" s="55"/>
      <c r="C591" s="55"/>
      <c r="D591" s="55"/>
    </row>
    <row r="592" spans="1:4">
      <c r="A592" s="55"/>
      <c r="B592" s="55"/>
      <c r="C592" s="55"/>
      <c r="D592" s="55"/>
    </row>
    <row r="593" spans="1:4">
      <c r="A593" s="55"/>
      <c r="B593" s="55"/>
      <c r="C593" s="55"/>
      <c r="D593" s="55"/>
    </row>
    <row r="594" spans="1:4">
      <c r="A594" s="55"/>
      <c r="B594" s="55"/>
      <c r="C594" s="55"/>
      <c r="D594" s="55"/>
    </row>
    <row r="595" spans="1:4">
      <c r="A595" s="55"/>
      <c r="B595" s="55"/>
      <c r="C595" s="55"/>
      <c r="D595" s="55"/>
    </row>
    <row r="596" spans="1:4">
      <c r="A596" s="55"/>
      <c r="B596" s="55"/>
      <c r="C596" s="55"/>
      <c r="D596" s="55"/>
    </row>
    <row r="597" spans="1:4">
      <c r="A597" s="55"/>
      <c r="B597" s="55"/>
      <c r="C597" s="55"/>
      <c r="D597" s="55"/>
    </row>
    <row r="598" spans="1:4">
      <c r="A598" s="55"/>
      <c r="B598" s="55"/>
      <c r="C598" s="55"/>
      <c r="D598" s="55"/>
    </row>
    <row r="599" spans="1:4">
      <c r="A599" s="55"/>
      <c r="B599" s="55"/>
      <c r="C599" s="55"/>
      <c r="D599" s="55"/>
    </row>
    <row r="600" spans="1:4">
      <c r="A600" s="55"/>
      <c r="B600" s="55"/>
      <c r="C600" s="55"/>
      <c r="D600" s="55"/>
    </row>
    <row r="601" spans="1:4">
      <c r="A601" s="55"/>
      <c r="B601" s="55"/>
      <c r="C601" s="55"/>
      <c r="D601" s="55"/>
    </row>
    <row r="602" spans="1:4">
      <c r="A602" s="55"/>
      <c r="B602" s="55"/>
      <c r="C602" s="55"/>
      <c r="D602" s="55"/>
    </row>
    <row r="603" spans="1:4">
      <c r="A603" s="55"/>
      <c r="B603" s="55"/>
      <c r="C603" s="55"/>
      <c r="D603" s="55"/>
    </row>
    <row r="604" spans="1:4">
      <c r="A604" s="55"/>
      <c r="B604" s="55"/>
      <c r="C604" s="55"/>
      <c r="D604" s="55"/>
    </row>
    <row r="605" spans="1:4">
      <c r="A605" s="55"/>
      <c r="B605" s="55"/>
      <c r="C605" s="55"/>
      <c r="D605" s="55"/>
    </row>
    <row r="606" spans="1:4">
      <c r="A606" s="55"/>
      <c r="B606" s="55"/>
      <c r="C606" s="55"/>
      <c r="D606" s="55"/>
    </row>
    <row r="607" spans="1:4">
      <c r="A607" s="55"/>
      <c r="B607" s="55"/>
      <c r="C607" s="55"/>
      <c r="D607" s="55"/>
    </row>
    <row r="608" spans="1:4">
      <c r="A608" s="55"/>
      <c r="B608" s="55"/>
      <c r="C608" s="55"/>
      <c r="D608" s="55"/>
    </row>
    <row r="609" spans="1:4">
      <c r="A609" s="55"/>
      <c r="B609" s="55"/>
      <c r="C609" s="55"/>
      <c r="D609" s="55"/>
    </row>
    <row r="610" spans="1:4">
      <c r="A610" s="55"/>
      <c r="B610" s="55"/>
      <c r="C610" s="55"/>
      <c r="D610" s="55"/>
    </row>
    <row r="611" spans="1:4">
      <c r="A611" s="55"/>
      <c r="B611" s="55"/>
      <c r="C611" s="55"/>
      <c r="D611" s="55"/>
    </row>
    <row r="612" spans="1:4">
      <c r="A612" s="55"/>
      <c r="B612" s="55"/>
      <c r="C612" s="55"/>
      <c r="D612" s="55"/>
    </row>
    <row r="613" spans="1:4">
      <c r="A613" s="55"/>
      <c r="B613" s="55"/>
      <c r="C613" s="55"/>
      <c r="D613" s="55"/>
    </row>
    <row r="614" spans="1:4">
      <c r="A614" s="55"/>
      <c r="B614" s="55"/>
      <c r="C614" s="55"/>
      <c r="D614" s="55"/>
    </row>
    <row r="615" spans="1:4">
      <c r="A615" s="55"/>
      <c r="B615" s="55"/>
      <c r="C615" s="55"/>
      <c r="D615" s="55"/>
    </row>
    <row r="616" spans="1:4">
      <c r="A616" s="55"/>
      <c r="B616" s="55"/>
      <c r="C616" s="55"/>
      <c r="D616" s="55"/>
    </row>
    <row r="617" spans="1:4">
      <c r="A617" s="55"/>
      <c r="B617" s="55"/>
      <c r="C617" s="55"/>
      <c r="D617" s="55"/>
    </row>
    <row r="618" spans="1:4">
      <c r="A618" s="55"/>
      <c r="B618" s="55"/>
      <c r="C618" s="55"/>
      <c r="D618" s="55"/>
    </row>
    <row r="619" spans="1:4">
      <c r="A619" s="55"/>
      <c r="B619" s="55"/>
      <c r="C619" s="55"/>
      <c r="D619" s="55"/>
    </row>
    <row r="620" spans="1:4">
      <c r="A620" s="55"/>
      <c r="B620" s="55"/>
      <c r="C620" s="55"/>
      <c r="D620" s="55"/>
    </row>
    <row r="621" spans="1:4">
      <c r="A621" s="55"/>
      <c r="B621" s="55"/>
      <c r="C621" s="55"/>
      <c r="D621" s="55"/>
    </row>
    <row r="622" spans="1:4">
      <c r="A622" s="55"/>
      <c r="B622" s="55"/>
      <c r="C622" s="55"/>
      <c r="D622" s="55"/>
    </row>
    <row r="623" spans="1:4">
      <c r="A623" s="55"/>
      <c r="B623" s="55"/>
      <c r="C623" s="55"/>
      <c r="D623" s="55"/>
    </row>
    <row r="624" spans="1:4">
      <c r="A624" s="55"/>
      <c r="B624" s="55"/>
      <c r="C624" s="55"/>
      <c r="D624" s="55"/>
    </row>
    <row r="625" spans="1:4">
      <c r="A625" s="55"/>
      <c r="B625" s="55"/>
      <c r="C625" s="55"/>
      <c r="D625" s="55"/>
    </row>
    <row r="626" spans="1:4">
      <c r="A626" s="55"/>
      <c r="B626" s="55"/>
      <c r="C626" s="55"/>
      <c r="D626" s="55"/>
    </row>
    <row r="627" spans="1:4">
      <c r="A627" s="55"/>
      <c r="B627" s="55"/>
      <c r="C627" s="55"/>
      <c r="D627" s="55"/>
    </row>
    <row r="628" spans="1:4">
      <c r="A628" s="55"/>
      <c r="B628" s="55"/>
      <c r="C628" s="55"/>
      <c r="D628" s="55"/>
    </row>
    <row r="629" spans="1:4">
      <c r="A629" s="55"/>
      <c r="B629" s="55"/>
      <c r="C629" s="55"/>
      <c r="D629" s="55"/>
    </row>
    <row r="630" spans="1:4">
      <c r="A630" s="55"/>
      <c r="B630" s="55"/>
      <c r="C630" s="55"/>
      <c r="D630" s="55"/>
    </row>
    <row r="631" spans="1:4">
      <c r="A631" s="55"/>
      <c r="B631" s="55"/>
      <c r="C631" s="55"/>
      <c r="D631" s="55"/>
    </row>
    <row r="632" spans="1:4">
      <c r="A632" s="55"/>
      <c r="B632" s="55"/>
      <c r="C632" s="55"/>
      <c r="D632" s="55"/>
    </row>
    <row r="633" spans="1:4">
      <c r="A633" s="55"/>
      <c r="B633" s="55"/>
      <c r="C633" s="55"/>
      <c r="D633" s="55"/>
    </row>
    <row r="634" spans="1:4">
      <c r="A634" s="55"/>
      <c r="B634" s="55"/>
      <c r="C634" s="55"/>
      <c r="D634" s="55"/>
    </row>
    <row r="635" spans="1:4">
      <c r="A635" s="55"/>
      <c r="B635" s="55"/>
      <c r="C635" s="55"/>
      <c r="D635" s="55"/>
    </row>
    <row r="636" spans="1:4">
      <c r="A636" s="55"/>
      <c r="B636" s="55"/>
      <c r="C636" s="55"/>
      <c r="D636" s="55"/>
    </row>
    <row r="637" spans="1:4">
      <c r="A637" s="55"/>
      <c r="B637" s="55"/>
      <c r="C637" s="55"/>
      <c r="D637" s="55"/>
    </row>
    <row r="638" spans="1:4">
      <c r="A638" s="55"/>
      <c r="B638" s="55"/>
      <c r="C638" s="55"/>
      <c r="D638" s="55"/>
    </row>
    <row r="639" spans="1:4">
      <c r="A639" s="55"/>
      <c r="B639" s="55"/>
      <c r="C639" s="55"/>
      <c r="D639" s="55"/>
    </row>
    <row r="640" spans="1:4">
      <c r="A640" s="55"/>
      <c r="B640" s="55"/>
      <c r="C640" s="55"/>
      <c r="D640" s="55"/>
    </row>
    <row r="641" spans="1:4">
      <c r="A641" s="55"/>
      <c r="B641" s="55"/>
      <c r="C641" s="55"/>
      <c r="D641" s="55"/>
    </row>
    <row r="642" spans="1:4">
      <c r="A642" s="55"/>
      <c r="B642" s="55"/>
      <c r="C642" s="55"/>
      <c r="D642" s="55"/>
    </row>
    <row r="643" spans="1:4">
      <c r="A643" s="55"/>
      <c r="B643" s="55"/>
      <c r="C643" s="55"/>
      <c r="D643" s="55"/>
    </row>
    <row r="644" spans="1:4">
      <c r="A644" s="55"/>
      <c r="B644" s="55"/>
      <c r="C644" s="55"/>
      <c r="D644" s="55"/>
    </row>
    <row r="645" spans="1:4">
      <c r="A645" s="55"/>
      <c r="B645" s="55"/>
      <c r="C645" s="55"/>
      <c r="D645" s="55"/>
    </row>
    <row r="646" spans="1:4">
      <c r="A646" s="55"/>
      <c r="B646" s="55"/>
      <c r="C646" s="55"/>
      <c r="D646" s="55"/>
    </row>
    <row r="647" spans="1:4">
      <c r="A647" s="55"/>
      <c r="B647" s="55"/>
      <c r="C647" s="55"/>
      <c r="D647" s="55"/>
    </row>
    <row r="648" spans="1:4">
      <c r="A648" s="55"/>
      <c r="B648" s="55"/>
      <c r="C648" s="55"/>
      <c r="D648" s="55"/>
    </row>
    <row r="649" spans="1:4">
      <c r="A649" s="55"/>
      <c r="B649" s="55"/>
      <c r="C649" s="55"/>
      <c r="D649" s="55"/>
    </row>
    <row r="650" spans="1:4">
      <c r="A650" s="55"/>
      <c r="B650" s="55"/>
      <c r="C650" s="55"/>
      <c r="D650" s="55"/>
    </row>
    <row r="651" spans="1:4">
      <c r="A651" s="55"/>
      <c r="B651" s="55"/>
      <c r="C651" s="55"/>
      <c r="D651" s="55"/>
    </row>
    <row r="652" spans="1:4">
      <c r="A652" s="55"/>
      <c r="B652" s="55"/>
      <c r="C652" s="55"/>
      <c r="D652" s="55"/>
    </row>
    <row r="653" spans="1:4">
      <c r="A653" s="55"/>
      <c r="B653" s="55"/>
      <c r="C653" s="55"/>
      <c r="D653" s="55"/>
    </row>
    <row r="654" spans="1:4">
      <c r="A654" s="55"/>
      <c r="B654" s="55"/>
      <c r="C654" s="55"/>
      <c r="D654" s="55"/>
    </row>
    <row r="655" spans="1:4">
      <c r="A655" s="55"/>
      <c r="B655" s="55"/>
      <c r="C655" s="55"/>
      <c r="D655" s="55"/>
    </row>
    <row r="656" spans="1:4">
      <c r="A656" s="55"/>
      <c r="B656" s="55"/>
      <c r="C656" s="55"/>
      <c r="D656" s="55"/>
    </row>
    <row r="657" spans="1:4">
      <c r="A657" s="55"/>
      <c r="B657" s="55"/>
      <c r="C657" s="55"/>
      <c r="D657" s="55"/>
    </row>
    <row r="658" spans="1:4">
      <c r="A658" s="55"/>
      <c r="B658" s="55"/>
      <c r="C658" s="55"/>
      <c r="D658" s="55"/>
    </row>
    <row r="659" spans="1:4">
      <c r="A659" s="55"/>
      <c r="B659" s="55"/>
      <c r="C659" s="55"/>
      <c r="D659" s="55"/>
    </row>
    <row r="660" spans="1:4">
      <c r="A660" s="55"/>
      <c r="B660" s="55"/>
      <c r="C660" s="55"/>
      <c r="D660" s="55"/>
    </row>
    <row r="661" spans="1:4">
      <c r="A661" s="55"/>
      <c r="B661" s="55"/>
      <c r="C661" s="55"/>
      <c r="D661" s="55"/>
    </row>
    <row r="662" spans="1:4">
      <c r="A662" s="55"/>
      <c r="B662" s="55"/>
      <c r="C662" s="55"/>
      <c r="D662" s="55"/>
    </row>
    <row r="663" spans="1:4">
      <c r="A663" s="55"/>
      <c r="B663" s="55"/>
      <c r="C663" s="55"/>
      <c r="D663" s="55"/>
    </row>
    <row r="664" spans="1:4">
      <c r="A664" s="55"/>
      <c r="B664" s="55"/>
      <c r="C664" s="55"/>
      <c r="D664" s="55"/>
    </row>
    <row r="665" spans="1:4">
      <c r="A665" s="55"/>
      <c r="B665" s="55"/>
      <c r="C665" s="55"/>
      <c r="D665" s="55"/>
    </row>
    <row r="666" spans="1:4">
      <c r="A666" s="55"/>
      <c r="B666" s="55"/>
      <c r="C666" s="55"/>
      <c r="D666" s="55"/>
    </row>
    <row r="667" spans="1:4">
      <c r="A667" s="55"/>
      <c r="B667" s="55"/>
      <c r="C667" s="55"/>
      <c r="D667" s="55"/>
    </row>
    <row r="668" spans="1:4">
      <c r="A668" s="55"/>
      <c r="B668" s="55"/>
      <c r="C668" s="55"/>
      <c r="D668" s="55"/>
    </row>
    <row r="669" spans="1:4">
      <c r="A669" s="55"/>
      <c r="B669" s="55"/>
      <c r="C669" s="55"/>
      <c r="D669" s="55"/>
    </row>
    <row r="670" spans="1:4">
      <c r="A670" s="55"/>
      <c r="B670" s="55"/>
      <c r="C670" s="55"/>
      <c r="D670" s="55"/>
    </row>
    <row r="671" spans="1:4">
      <c r="A671" s="55"/>
      <c r="B671" s="55"/>
      <c r="C671" s="55"/>
      <c r="D671" s="55"/>
    </row>
    <row r="672" spans="1:4">
      <c r="A672" s="55"/>
      <c r="B672" s="55"/>
      <c r="C672" s="55"/>
      <c r="D672" s="55"/>
    </row>
    <row r="673" spans="1:4">
      <c r="A673" s="55"/>
      <c r="B673" s="55"/>
      <c r="C673" s="55"/>
      <c r="D673" s="55"/>
    </row>
    <row r="674" spans="1:4">
      <c r="A674" s="55"/>
      <c r="B674" s="55"/>
      <c r="C674" s="55"/>
      <c r="D674" s="55"/>
    </row>
    <row r="675" spans="1:4">
      <c r="A675" s="55"/>
      <c r="B675" s="55"/>
      <c r="C675" s="55"/>
      <c r="D675" s="55"/>
    </row>
    <row r="676" spans="1:4">
      <c r="A676" s="55"/>
      <c r="B676" s="55"/>
      <c r="C676" s="55"/>
      <c r="D676" s="55"/>
    </row>
    <row r="677" spans="1:4">
      <c r="A677" s="55"/>
      <c r="B677" s="55"/>
      <c r="C677" s="55"/>
      <c r="D677" s="55"/>
    </row>
    <row r="678" spans="1:4">
      <c r="A678" s="55"/>
      <c r="B678" s="55"/>
      <c r="C678" s="55"/>
      <c r="D678" s="55"/>
    </row>
    <row r="679" spans="1:4">
      <c r="A679" s="55"/>
      <c r="B679" s="55"/>
      <c r="C679" s="55"/>
      <c r="D679" s="55"/>
    </row>
    <row r="680" spans="1:4">
      <c r="A680" s="55"/>
      <c r="B680" s="55"/>
      <c r="C680" s="55"/>
      <c r="D680" s="55"/>
    </row>
    <row r="681" spans="1:4">
      <c r="A681" s="55"/>
      <c r="B681" s="55"/>
      <c r="C681" s="55"/>
      <c r="D681" s="55"/>
    </row>
    <row r="682" spans="1:4">
      <c r="A682" s="55"/>
      <c r="B682" s="55"/>
      <c r="C682" s="55"/>
      <c r="D682" s="55"/>
    </row>
    <row r="683" spans="1:4">
      <c r="A683" s="55"/>
      <c r="B683" s="55"/>
      <c r="C683" s="55"/>
      <c r="D683" s="55"/>
    </row>
    <row r="684" spans="1:4">
      <c r="A684" s="55"/>
      <c r="B684" s="55"/>
      <c r="C684" s="55"/>
      <c r="D684" s="55"/>
    </row>
    <row r="685" spans="1:4">
      <c r="A685" s="55"/>
      <c r="B685" s="55"/>
      <c r="C685" s="55"/>
      <c r="D685" s="55"/>
    </row>
    <row r="686" spans="1:4">
      <c r="A686" s="55"/>
      <c r="B686" s="55"/>
      <c r="C686" s="55"/>
      <c r="D686" s="55"/>
    </row>
    <row r="687" spans="1:4">
      <c r="A687" s="55"/>
      <c r="B687" s="55"/>
      <c r="C687" s="55"/>
      <c r="D687" s="55"/>
    </row>
    <row r="688" spans="1:4">
      <c r="A688" s="55"/>
      <c r="B688" s="55"/>
      <c r="C688" s="55"/>
      <c r="D688" s="55"/>
    </row>
    <row r="689" spans="1:4">
      <c r="A689" s="55"/>
      <c r="B689" s="55"/>
      <c r="C689" s="55"/>
      <c r="D689" s="55"/>
    </row>
    <row r="690" spans="1:4">
      <c r="A690" s="55"/>
      <c r="B690" s="55"/>
      <c r="C690" s="55"/>
      <c r="D690" s="55"/>
    </row>
    <row r="691" spans="1:4">
      <c r="A691" s="55"/>
      <c r="B691" s="55"/>
      <c r="C691" s="55"/>
      <c r="D691" s="55"/>
    </row>
    <row r="692" spans="1:4">
      <c r="A692" s="55"/>
      <c r="B692" s="55"/>
      <c r="C692" s="55"/>
      <c r="D692" s="55"/>
    </row>
    <row r="693" spans="1:4">
      <c r="A693" s="55"/>
      <c r="B693" s="55"/>
      <c r="C693" s="55"/>
      <c r="D693" s="55"/>
    </row>
    <row r="694" spans="1:4">
      <c r="A694" s="55"/>
      <c r="B694" s="55"/>
      <c r="C694" s="55"/>
      <c r="D694" s="55"/>
    </row>
    <row r="695" spans="1:4">
      <c r="A695" s="55"/>
      <c r="B695" s="55"/>
      <c r="C695" s="55"/>
      <c r="D695" s="55"/>
    </row>
    <row r="696" spans="1:4">
      <c r="A696" s="55"/>
      <c r="B696" s="55"/>
      <c r="C696" s="55"/>
      <c r="D696" s="55"/>
    </row>
    <row r="697" spans="1:4">
      <c r="A697" s="55"/>
      <c r="B697" s="55"/>
      <c r="C697" s="55"/>
      <c r="D697" s="55"/>
    </row>
    <row r="698" spans="1:4">
      <c r="A698" s="55"/>
      <c r="B698" s="55"/>
      <c r="C698" s="55"/>
      <c r="D698" s="55"/>
    </row>
    <row r="699" spans="1:4">
      <c r="A699" s="55"/>
      <c r="B699" s="55"/>
      <c r="C699" s="55"/>
      <c r="D699" s="55"/>
    </row>
    <row r="700" spans="1:4">
      <c r="A700" s="55"/>
      <c r="B700" s="55"/>
      <c r="C700" s="55"/>
      <c r="D700" s="55"/>
    </row>
    <row r="701" spans="1:4">
      <c r="A701" s="55"/>
      <c r="B701" s="55"/>
      <c r="C701" s="55"/>
      <c r="D701" s="55"/>
    </row>
    <row r="702" spans="1:4">
      <c r="A702" s="55"/>
      <c r="B702" s="55"/>
      <c r="C702" s="55"/>
      <c r="D702" s="55"/>
    </row>
    <row r="703" spans="1:4">
      <c r="A703" s="55"/>
      <c r="B703" s="55"/>
      <c r="C703" s="55"/>
      <c r="D703" s="55"/>
    </row>
    <row r="704" spans="1:4">
      <c r="A704" s="55"/>
      <c r="B704" s="55"/>
      <c r="C704" s="55"/>
      <c r="D704" s="55"/>
    </row>
    <row r="705" spans="1:4">
      <c r="A705" s="55"/>
      <c r="B705" s="55"/>
      <c r="C705" s="55"/>
      <c r="D705" s="55"/>
    </row>
    <row r="706" spans="1:4">
      <c r="A706" s="55"/>
      <c r="B706" s="55"/>
      <c r="C706" s="55"/>
      <c r="D706" s="55"/>
    </row>
    <row r="707" spans="1:4">
      <c r="A707" s="55"/>
      <c r="B707" s="55"/>
      <c r="C707" s="55"/>
      <c r="D707" s="55"/>
    </row>
    <row r="708" spans="1:4">
      <c r="A708" s="55"/>
      <c r="B708" s="55"/>
      <c r="C708" s="55"/>
      <c r="D708" s="55"/>
    </row>
    <row r="709" spans="1:4">
      <c r="A709" s="55"/>
      <c r="B709" s="55"/>
      <c r="C709" s="55"/>
      <c r="D709" s="55"/>
    </row>
    <row r="710" spans="1:4">
      <c r="A710" s="55"/>
      <c r="B710" s="55"/>
      <c r="C710" s="55"/>
      <c r="D710" s="55"/>
    </row>
    <row r="711" spans="1:4">
      <c r="A711" s="55"/>
      <c r="B711" s="55"/>
      <c r="C711" s="55"/>
      <c r="D711" s="55"/>
    </row>
    <row r="712" spans="1:4">
      <c r="A712" s="55"/>
      <c r="B712" s="55"/>
      <c r="C712" s="55"/>
      <c r="D712" s="55"/>
    </row>
    <row r="713" spans="1:4">
      <c r="A713" s="55"/>
      <c r="B713" s="55"/>
      <c r="C713" s="55"/>
      <c r="D713" s="55"/>
    </row>
    <row r="714" spans="1:4">
      <c r="A714" s="55"/>
      <c r="B714" s="55"/>
      <c r="C714" s="55"/>
      <c r="D714" s="55"/>
    </row>
    <row r="715" spans="1:4">
      <c r="A715" s="55"/>
      <c r="B715" s="55"/>
      <c r="C715" s="55"/>
      <c r="D715" s="55"/>
    </row>
    <row r="716" spans="1:4">
      <c r="A716" s="55"/>
      <c r="B716" s="55"/>
      <c r="C716" s="55"/>
      <c r="D716" s="55"/>
    </row>
    <row r="717" spans="1:4">
      <c r="A717" s="55"/>
      <c r="B717" s="55"/>
      <c r="C717" s="55"/>
      <c r="D717" s="55"/>
    </row>
    <row r="718" spans="1:4">
      <c r="A718" s="55"/>
      <c r="B718" s="55"/>
      <c r="C718" s="55"/>
      <c r="D718" s="55"/>
    </row>
    <row r="719" spans="1:4">
      <c r="A719" s="55"/>
      <c r="B719" s="55"/>
      <c r="C719" s="55"/>
      <c r="D719" s="55"/>
    </row>
    <row r="720" spans="1:4">
      <c r="A720" s="55"/>
      <c r="B720" s="55"/>
      <c r="C720" s="55"/>
      <c r="D720" s="55"/>
    </row>
    <row r="721" spans="1:4">
      <c r="A721" s="55"/>
      <c r="B721" s="55"/>
      <c r="C721" s="55"/>
      <c r="D721" s="55"/>
    </row>
    <row r="722" spans="1:4">
      <c r="A722" s="55"/>
      <c r="B722" s="55"/>
      <c r="C722" s="55"/>
      <c r="D722" s="55"/>
    </row>
    <row r="723" spans="1:4">
      <c r="A723" s="55"/>
      <c r="B723" s="55"/>
      <c r="C723" s="55"/>
      <c r="D723" s="55"/>
    </row>
    <row r="724" spans="1:4">
      <c r="A724" s="55"/>
      <c r="B724" s="55"/>
      <c r="C724" s="55"/>
      <c r="D724" s="55"/>
    </row>
    <row r="725" spans="1:4">
      <c r="A725" s="55"/>
      <c r="B725" s="55"/>
      <c r="C725" s="55"/>
      <c r="D725" s="55"/>
    </row>
    <row r="726" spans="1:4">
      <c r="A726" s="55"/>
      <c r="B726" s="55"/>
      <c r="C726" s="55"/>
      <c r="D726" s="55"/>
    </row>
    <row r="727" spans="1:4">
      <c r="A727" s="55"/>
      <c r="B727" s="55"/>
      <c r="C727" s="55"/>
      <c r="D727" s="55"/>
    </row>
    <row r="728" spans="1:4">
      <c r="A728" s="55"/>
      <c r="B728" s="55"/>
      <c r="C728" s="55"/>
      <c r="D728" s="55"/>
    </row>
    <row r="729" spans="1:4">
      <c r="A729" s="55"/>
      <c r="B729" s="55"/>
      <c r="C729" s="55"/>
      <c r="D729" s="55"/>
    </row>
    <row r="730" spans="1:4">
      <c r="A730" s="55"/>
      <c r="B730" s="55"/>
      <c r="C730" s="55"/>
      <c r="D730" s="55"/>
    </row>
    <row r="731" spans="1:4">
      <c r="A731" s="55"/>
      <c r="B731" s="55"/>
      <c r="C731" s="55"/>
      <c r="D731" s="55"/>
    </row>
    <row r="732" spans="1:4">
      <c r="A732" s="55"/>
      <c r="B732" s="55"/>
      <c r="C732" s="55"/>
      <c r="D732" s="55"/>
    </row>
    <row r="733" spans="1:4">
      <c r="A733" s="55"/>
      <c r="B733" s="55"/>
      <c r="C733" s="55"/>
      <c r="D733" s="55"/>
    </row>
    <row r="734" spans="1:4">
      <c r="A734" s="55"/>
      <c r="B734" s="55"/>
      <c r="C734" s="55"/>
      <c r="D734" s="55"/>
    </row>
    <row r="735" spans="1:4">
      <c r="A735" s="55"/>
      <c r="B735" s="55"/>
      <c r="C735" s="55"/>
      <c r="D735" s="55"/>
    </row>
    <row r="736" spans="1:4">
      <c r="A736" s="55"/>
      <c r="B736" s="55"/>
      <c r="C736" s="55"/>
      <c r="D736" s="55"/>
    </row>
    <row r="737" spans="1:4">
      <c r="A737" s="55"/>
      <c r="B737" s="55"/>
      <c r="C737" s="55"/>
      <c r="D737" s="55"/>
    </row>
    <row r="738" spans="1:4">
      <c r="A738" s="55"/>
      <c r="B738" s="55"/>
      <c r="C738" s="55"/>
      <c r="D738" s="55"/>
    </row>
    <row r="739" spans="1:4">
      <c r="A739" s="55"/>
      <c r="B739" s="55"/>
      <c r="C739" s="55"/>
      <c r="D739" s="55"/>
    </row>
    <row r="740" spans="1:4">
      <c r="A740" s="55"/>
      <c r="B740" s="55"/>
      <c r="C740" s="55"/>
      <c r="D740" s="55"/>
    </row>
    <row r="741" spans="1:4">
      <c r="A741" s="55"/>
      <c r="B741" s="55"/>
      <c r="C741" s="55"/>
      <c r="D741" s="55"/>
    </row>
    <row r="742" spans="1:4">
      <c r="A742" s="55"/>
      <c r="B742" s="55"/>
      <c r="C742" s="55"/>
      <c r="D742" s="55"/>
    </row>
    <row r="743" spans="1:4">
      <c r="A743" s="55"/>
      <c r="B743" s="55"/>
      <c r="C743" s="55"/>
      <c r="D743" s="55"/>
    </row>
    <row r="744" spans="1:4">
      <c r="A744" s="55"/>
      <c r="B744" s="55"/>
      <c r="C744" s="55"/>
      <c r="D744" s="55"/>
    </row>
    <row r="745" spans="1:4">
      <c r="A745" s="55"/>
      <c r="B745" s="55"/>
      <c r="C745" s="55"/>
      <c r="D745" s="55"/>
    </row>
    <row r="746" spans="1:4">
      <c r="A746" s="55"/>
      <c r="B746" s="55"/>
      <c r="C746" s="55"/>
      <c r="D746" s="55"/>
    </row>
    <row r="747" spans="1:4">
      <c r="A747" s="55"/>
      <c r="B747" s="55"/>
      <c r="C747" s="55"/>
      <c r="D747" s="55"/>
    </row>
    <row r="748" spans="1:4">
      <c r="A748" s="55"/>
      <c r="B748" s="55"/>
      <c r="C748" s="55"/>
      <c r="D748" s="55"/>
    </row>
    <row r="749" spans="1:4">
      <c r="A749" s="55"/>
      <c r="B749" s="55"/>
      <c r="C749" s="55"/>
      <c r="D749" s="55"/>
    </row>
    <row r="750" spans="1:4">
      <c r="A750" s="55"/>
      <c r="B750" s="55"/>
      <c r="C750" s="55"/>
      <c r="D750" s="55"/>
    </row>
    <row r="751" spans="1:4">
      <c r="A751" s="55"/>
      <c r="B751" s="55"/>
      <c r="C751" s="55"/>
      <c r="D751" s="55"/>
    </row>
    <row r="752" spans="1:4">
      <c r="A752" s="55"/>
      <c r="B752" s="55"/>
      <c r="C752" s="55"/>
      <c r="D752" s="55"/>
    </row>
    <row r="753" spans="1:4">
      <c r="A753" s="55"/>
      <c r="B753" s="55"/>
      <c r="C753" s="55"/>
      <c r="D753" s="55"/>
    </row>
    <row r="754" spans="1:4">
      <c r="A754" s="55"/>
      <c r="B754" s="55"/>
      <c r="C754" s="55"/>
      <c r="D754" s="55"/>
    </row>
    <row r="755" spans="1:4">
      <c r="A755" s="55"/>
      <c r="B755" s="55"/>
      <c r="C755" s="55"/>
      <c r="D755" s="55"/>
    </row>
    <row r="756" spans="1:4">
      <c r="A756" s="55"/>
      <c r="B756" s="55"/>
      <c r="C756" s="55"/>
      <c r="D756" s="55"/>
    </row>
    <row r="757" spans="1:4">
      <c r="A757" s="55"/>
      <c r="B757" s="55"/>
      <c r="C757" s="55"/>
      <c r="D757" s="55"/>
    </row>
    <row r="758" spans="1:4">
      <c r="A758" s="55"/>
      <c r="B758" s="55"/>
      <c r="C758" s="55"/>
      <c r="D758" s="55"/>
    </row>
    <row r="759" spans="1:4">
      <c r="A759" s="55"/>
      <c r="B759" s="55"/>
      <c r="C759" s="55"/>
      <c r="D759" s="55"/>
    </row>
    <row r="760" spans="1:4">
      <c r="A760" s="55"/>
      <c r="B760" s="55"/>
      <c r="C760" s="55"/>
      <c r="D760" s="55"/>
    </row>
    <row r="761" spans="1:4">
      <c r="A761" s="55"/>
      <c r="B761" s="55"/>
      <c r="C761" s="55"/>
      <c r="D761" s="55"/>
    </row>
    <row r="762" spans="1:4">
      <c r="A762" s="55"/>
      <c r="B762" s="55"/>
      <c r="C762" s="55"/>
      <c r="D762" s="55"/>
    </row>
    <row r="763" spans="1:4">
      <c r="A763" s="55"/>
      <c r="B763" s="55"/>
      <c r="C763" s="55"/>
      <c r="D763" s="55"/>
    </row>
    <row r="764" spans="1:4">
      <c r="A764" s="55"/>
      <c r="B764" s="55"/>
      <c r="C764" s="55"/>
      <c r="D764" s="55"/>
    </row>
    <row r="765" spans="1:4">
      <c r="A765" s="55"/>
      <c r="B765" s="55"/>
      <c r="C765" s="55"/>
      <c r="D765" s="55"/>
    </row>
    <row r="766" spans="1:4">
      <c r="A766" s="55"/>
      <c r="B766" s="55"/>
      <c r="C766" s="55"/>
      <c r="D766" s="55"/>
    </row>
    <row r="767" spans="1:4">
      <c r="A767" s="55"/>
      <c r="B767" s="55"/>
      <c r="C767" s="55"/>
      <c r="D767" s="55"/>
    </row>
    <row r="768" spans="1:4">
      <c r="A768" s="55"/>
      <c r="B768" s="55"/>
      <c r="C768" s="55"/>
      <c r="D768" s="55"/>
    </row>
    <row r="769" spans="1:4">
      <c r="A769" s="55"/>
      <c r="B769" s="55"/>
      <c r="C769" s="55"/>
      <c r="D769" s="55"/>
    </row>
    <row r="770" spans="1:4">
      <c r="A770" s="55"/>
      <c r="B770" s="55"/>
      <c r="C770" s="55"/>
      <c r="D770" s="55"/>
    </row>
    <row r="771" spans="1:4">
      <c r="A771" s="55"/>
      <c r="B771" s="55"/>
      <c r="C771" s="55"/>
      <c r="D771" s="55"/>
    </row>
    <row r="772" spans="1:4">
      <c r="A772" s="55"/>
      <c r="B772" s="55"/>
      <c r="C772" s="55"/>
      <c r="D772" s="55"/>
    </row>
    <row r="773" spans="1:4">
      <c r="A773" s="55"/>
      <c r="B773" s="55"/>
      <c r="C773" s="55"/>
      <c r="D773" s="55"/>
    </row>
    <row r="774" spans="1:4">
      <c r="A774" s="55"/>
      <c r="B774" s="55"/>
      <c r="C774" s="55"/>
      <c r="D774" s="55"/>
    </row>
    <row r="775" spans="1:4">
      <c r="A775" s="55"/>
      <c r="B775" s="55"/>
      <c r="C775" s="55"/>
      <c r="D775" s="55"/>
    </row>
    <row r="776" spans="1:4">
      <c r="A776" s="55"/>
      <c r="B776" s="55"/>
      <c r="C776" s="55"/>
      <c r="D776" s="55"/>
    </row>
    <row r="777" spans="1:4">
      <c r="A777" s="55"/>
      <c r="B777" s="55"/>
      <c r="C777" s="55"/>
      <c r="D777" s="55"/>
    </row>
    <row r="778" spans="1:4">
      <c r="A778" s="55"/>
      <c r="B778" s="55"/>
      <c r="C778" s="55"/>
      <c r="D778" s="55"/>
    </row>
    <row r="779" spans="1:4">
      <c r="A779" s="55"/>
      <c r="B779" s="55"/>
      <c r="C779" s="55"/>
      <c r="D779" s="55"/>
    </row>
    <row r="780" spans="1:4">
      <c r="A780" s="55"/>
      <c r="B780" s="55"/>
      <c r="C780" s="55"/>
      <c r="D780" s="55"/>
    </row>
    <row r="781" spans="1:4">
      <c r="A781" s="55"/>
      <c r="B781" s="55"/>
      <c r="C781" s="55"/>
      <c r="D781" s="55"/>
    </row>
    <row r="782" spans="1:4">
      <c r="A782" s="55"/>
      <c r="B782" s="55"/>
      <c r="C782" s="55"/>
      <c r="D782" s="55"/>
    </row>
    <row r="783" spans="1:4">
      <c r="A783" s="55"/>
      <c r="B783" s="55"/>
      <c r="C783" s="55"/>
      <c r="D783" s="55"/>
    </row>
    <row r="784" spans="1:4">
      <c r="A784" s="55"/>
      <c r="B784" s="55"/>
      <c r="C784" s="55"/>
      <c r="D784" s="55"/>
    </row>
    <row r="785" spans="1:4">
      <c r="A785" s="55"/>
      <c r="B785" s="55"/>
      <c r="C785" s="55"/>
      <c r="D785" s="55"/>
    </row>
    <row r="786" spans="1:4">
      <c r="A786" s="55"/>
      <c r="B786" s="55"/>
      <c r="C786" s="55"/>
      <c r="D786" s="55"/>
    </row>
    <row r="787" spans="1:4">
      <c r="A787" s="55"/>
      <c r="B787" s="55"/>
      <c r="C787" s="55"/>
      <c r="D787" s="55"/>
    </row>
    <row r="788" spans="1:4">
      <c r="A788" s="55"/>
      <c r="B788" s="55"/>
      <c r="C788" s="55"/>
      <c r="D788" s="55"/>
    </row>
    <row r="789" spans="1:4">
      <c r="A789" s="55"/>
      <c r="B789" s="55"/>
      <c r="C789" s="55"/>
      <c r="D789" s="55"/>
    </row>
    <row r="790" spans="1:4">
      <c r="A790" s="55"/>
      <c r="B790" s="55"/>
      <c r="C790" s="55"/>
      <c r="D790" s="55"/>
    </row>
    <row r="791" spans="1:4">
      <c r="A791" s="55"/>
      <c r="B791" s="55"/>
      <c r="C791" s="55"/>
      <c r="D791" s="55"/>
    </row>
    <row r="792" spans="1:4">
      <c r="A792" s="55"/>
      <c r="B792" s="55"/>
      <c r="C792" s="55"/>
      <c r="D792" s="55"/>
    </row>
    <row r="793" spans="1:4">
      <c r="A793" s="55"/>
      <c r="B793" s="55"/>
      <c r="C793" s="55"/>
      <c r="D793" s="55"/>
    </row>
    <row r="794" spans="1:4">
      <c r="A794" s="55"/>
      <c r="B794" s="55"/>
      <c r="C794" s="55"/>
      <c r="D794" s="55"/>
    </row>
    <row r="795" spans="1:4">
      <c r="A795" s="55"/>
      <c r="B795" s="55"/>
      <c r="C795" s="55"/>
      <c r="D795" s="55"/>
    </row>
    <row r="796" spans="1:4">
      <c r="A796" s="55"/>
      <c r="B796" s="55"/>
      <c r="C796" s="55"/>
      <c r="D796" s="55"/>
    </row>
    <row r="797" spans="1:4">
      <c r="A797" s="55"/>
      <c r="B797" s="55"/>
      <c r="C797" s="55"/>
      <c r="D797" s="55"/>
    </row>
    <row r="798" spans="1:4">
      <c r="A798" s="55"/>
      <c r="B798" s="55"/>
      <c r="C798" s="55"/>
      <c r="D798" s="55"/>
    </row>
    <row r="799" spans="1:4">
      <c r="A799" s="55"/>
      <c r="B799" s="55"/>
      <c r="C799" s="55"/>
      <c r="D799" s="55"/>
    </row>
    <row r="800" spans="1:4">
      <c r="A800" s="55"/>
      <c r="B800" s="55"/>
      <c r="C800" s="55"/>
      <c r="D800" s="55"/>
    </row>
    <row r="801" spans="1:4">
      <c r="A801" s="55"/>
      <c r="B801" s="55"/>
      <c r="C801" s="55"/>
      <c r="D801" s="55"/>
    </row>
    <row r="802" spans="1:4">
      <c r="A802" s="55"/>
      <c r="B802" s="55"/>
      <c r="C802" s="55"/>
      <c r="D802" s="55"/>
    </row>
    <row r="803" spans="1:4">
      <c r="A803" s="55"/>
      <c r="B803" s="55"/>
      <c r="C803" s="55"/>
      <c r="D803" s="55"/>
    </row>
    <row r="804" spans="1:4">
      <c r="A804" s="55"/>
      <c r="B804" s="55"/>
      <c r="C804" s="55"/>
      <c r="D804" s="55"/>
    </row>
    <row r="805" spans="1:4">
      <c r="A805" s="55"/>
      <c r="B805" s="55"/>
      <c r="C805" s="55"/>
      <c r="D805" s="55"/>
    </row>
    <row r="806" spans="1:4">
      <c r="A806" s="55"/>
      <c r="B806" s="55"/>
      <c r="C806" s="55"/>
      <c r="D806" s="55"/>
    </row>
    <row r="807" spans="1:4">
      <c r="A807" s="55"/>
      <c r="B807" s="55"/>
      <c r="C807" s="55"/>
      <c r="D807" s="55"/>
    </row>
    <row r="808" spans="1:4">
      <c r="A808" s="55"/>
      <c r="B808" s="55"/>
      <c r="C808" s="55"/>
      <c r="D808" s="55"/>
    </row>
    <row r="809" spans="1:4">
      <c r="A809" s="55"/>
      <c r="B809" s="55"/>
      <c r="C809" s="55"/>
      <c r="D809" s="55"/>
    </row>
    <row r="810" spans="1:4">
      <c r="A810" s="55"/>
      <c r="B810" s="55"/>
      <c r="C810" s="55"/>
      <c r="D810" s="55"/>
    </row>
    <row r="811" spans="1:4">
      <c r="A811" s="55"/>
      <c r="B811" s="55"/>
      <c r="C811" s="55"/>
      <c r="D811" s="55"/>
    </row>
    <row r="812" spans="1:4">
      <c r="A812" s="55"/>
      <c r="B812" s="55"/>
      <c r="C812" s="55"/>
      <c r="D812" s="55"/>
    </row>
    <row r="813" spans="1:4">
      <c r="A813" s="55"/>
      <c r="B813" s="55"/>
      <c r="C813" s="55"/>
      <c r="D813" s="55"/>
    </row>
    <row r="814" spans="1:4">
      <c r="A814" s="55"/>
      <c r="B814" s="55"/>
      <c r="C814" s="55"/>
      <c r="D814" s="55"/>
    </row>
    <row r="815" spans="1:4">
      <c r="A815" s="55"/>
      <c r="B815" s="55"/>
      <c r="C815" s="55"/>
      <c r="D815" s="55"/>
    </row>
    <row r="816" spans="1:4">
      <c r="A816" s="55"/>
      <c r="B816" s="55"/>
      <c r="C816" s="55"/>
      <c r="D816" s="55"/>
    </row>
    <row r="817" spans="1:4">
      <c r="A817" s="55"/>
      <c r="B817" s="55"/>
      <c r="C817" s="55"/>
      <c r="D817" s="55"/>
    </row>
    <row r="818" spans="1:4">
      <c r="A818" s="55"/>
      <c r="B818" s="55"/>
      <c r="C818" s="55"/>
      <c r="D818" s="55"/>
    </row>
    <row r="819" spans="1:4">
      <c r="A819" s="55"/>
      <c r="B819" s="55"/>
      <c r="C819" s="55"/>
      <c r="D819" s="55"/>
    </row>
    <row r="820" spans="1:4">
      <c r="A820" s="55"/>
      <c r="B820" s="55"/>
      <c r="C820" s="55"/>
      <c r="D820" s="55"/>
    </row>
    <row r="821" spans="1:4">
      <c r="A821" s="55"/>
      <c r="B821" s="55"/>
      <c r="C821" s="55"/>
      <c r="D821" s="55"/>
    </row>
    <row r="822" spans="1:4">
      <c r="A822" s="55"/>
      <c r="B822" s="55"/>
      <c r="C822" s="55"/>
      <c r="D822" s="55"/>
    </row>
    <row r="823" spans="1:4">
      <c r="A823" s="55"/>
      <c r="B823" s="55"/>
      <c r="C823" s="55"/>
      <c r="D823" s="55"/>
    </row>
    <row r="824" spans="1:4">
      <c r="A824" s="55"/>
      <c r="B824" s="55"/>
      <c r="C824" s="55"/>
      <c r="D824" s="55"/>
    </row>
    <row r="825" spans="1:4">
      <c r="A825" s="55"/>
      <c r="B825" s="55"/>
      <c r="C825" s="55"/>
      <c r="D825" s="55"/>
    </row>
    <row r="826" spans="1:4">
      <c r="A826" s="55"/>
      <c r="B826" s="55"/>
      <c r="C826" s="55"/>
      <c r="D826" s="55"/>
    </row>
    <row r="827" spans="1:4">
      <c r="A827" s="55"/>
      <c r="B827" s="55"/>
      <c r="C827" s="55"/>
      <c r="D827" s="55"/>
    </row>
    <row r="828" spans="1:4">
      <c r="A828" s="55"/>
      <c r="B828" s="55"/>
      <c r="C828" s="55"/>
      <c r="D828" s="55"/>
    </row>
    <row r="829" spans="1:4">
      <c r="A829" s="55"/>
      <c r="B829" s="55"/>
      <c r="C829" s="55"/>
      <c r="D829" s="55"/>
    </row>
    <row r="830" spans="1:4">
      <c r="A830" s="55"/>
      <c r="B830" s="55"/>
      <c r="C830" s="55"/>
      <c r="D830" s="55"/>
    </row>
    <row r="831" spans="1:4">
      <c r="A831" s="55"/>
      <c r="B831" s="55"/>
      <c r="C831" s="55"/>
      <c r="D831" s="55"/>
    </row>
    <row r="832" spans="1:4">
      <c r="A832" s="55"/>
      <c r="B832" s="55"/>
      <c r="C832" s="55"/>
      <c r="D832" s="55"/>
    </row>
    <row r="833" spans="1:4">
      <c r="A833" s="55"/>
      <c r="B833" s="55"/>
      <c r="C833" s="55"/>
      <c r="D833" s="55"/>
    </row>
    <row r="834" spans="1:4">
      <c r="A834" s="55"/>
      <c r="B834" s="55"/>
      <c r="C834" s="55"/>
      <c r="D834" s="55"/>
    </row>
    <row r="835" spans="1:4">
      <c r="A835" s="55"/>
      <c r="B835" s="55"/>
      <c r="C835" s="55"/>
      <c r="D835" s="55"/>
    </row>
    <row r="836" spans="1:4">
      <c r="A836" s="55"/>
      <c r="B836" s="55"/>
      <c r="C836" s="55"/>
      <c r="D836" s="55"/>
    </row>
    <row r="837" spans="1:4">
      <c r="A837" s="55"/>
      <c r="B837" s="55"/>
      <c r="C837" s="55"/>
      <c r="D837" s="55"/>
    </row>
    <row r="838" spans="1:4">
      <c r="A838" s="55"/>
      <c r="B838" s="55"/>
      <c r="C838" s="55"/>
      <c r="D838" s="55"/>
    </row>
    <row r="839" spans="1:4">
      <c r="A839" s="55"/>
      <c r="B839" s="55"/>
      <c r="C839" s="55"/>
      <c r="D839" s="55"/>
    </row>
    <row r="840" spans="1:4">
      <c r="A840" s="55"/>
      <c r="B840" s="55"/>
      <c r="C840" s="55"/>
      <c r="D840" s="55"/>
    </row>
    <row r="841" spans="1:4">
      <c r="A841" s="55"/>
      <c r="B841" s="55"/>
      <c r="C841" s="55"/>
      <c r="D841" s="55"/>
    </row>
    <row r="842" spans="1:4">
      <c r="A842" s="55"/>
      <c r="B842" s="55"/>
      <c r="C842" s="55"/>
      <c r="D842" s="55"/>
    </row>
    <row r="843" spans="1:4">
      <c r="A843" s="55"/>
      <c r="B843" s="55"/>
      <c r="C843" s="55"/>
      <c r="D843" s="55"/>
    </row>
    <row r="844" spans="1:4">
      <c r="A844" s="55"/>
      <c r="B844" s="55"/>
      <c r="C844" s="55"/>
      <c r="D844" s="55"/>
    </row>
    <row r="845" spans="1:4">
      <c r="A845" s="55"/>
      <c r="B845" s="55"/>
      <c r="C845" s="55"/>
      <c r="D845" s="55"/>
    </row>
    <row r="846" spans="1:4">
      <c r="A846" s="55"/>
      <c r="B846" s="55"/>
      <c r="C846" s="55"/>
      <c r="D846" s="55"/>
    </row>
    <row r="847" spans="1:4">
      <c r="A847" s="55"/>
      <c r="B847" s="55"/>
      <c r="C847" s="55"/>
      <c r="D847" s="55"/>
    </row>
    <row r="848" spans="1:4">
      <c r="A848" s="55"/>
      <c r="B848" s="55"/>
      <c r="C848" s="55"/>
      <c r="D848" s="55"/>
    </row>
    <row r="849" spans="1:4">
      <c r="A849" s="55"/>
      <c r="B849" s="55"/>
      <c r="C849" s="55"/>
      <c r="D849" s="55"/>
    </row>
    <row r="850" spans="1:4">
      <c r="A850" s="55"/>
      <c r="B850" s="55"/>
      <c r="C850" s="55"/>
      <c r="D850" s="55"/>
    </row>
    <row r="851" spans="1:4">
      <c r="A851" s="55"/>
      <c r="B851" s="55"/>
      <c r="C851" s="55"/>
      <c r="D851" s="55"/>
    </row>
    <row r="852" spans="1:4">
      <c r="A852" s="55"/>
      <c r="B852" s="55"/>
      <c r="C852" s="55"/>
      <c r="D852" s="55"/>
    </row>
    <row r="853" spans="1:4">
      <c r="A853" s="55"/>
      <c r="B853" s="55"/>
      <c r="C853" s="55"/>
      <c r="D853" s="55"/>
    </row>
    <row r="854" spans="1:4">
      <c r="A854" s="55"/>
      <c r="B854" s="55"/>
      <c r="C854" s="55"/>
      <c r="D854" s="55"/>
    </row>
    <row r="855" spans="1:4">
      <c r="A855" s="55"/>
      <c r="B855" s="55"/>
      <c r="C855" s="55"/>
      <c r="D855" s="55"/>
    </row>
    <row r="856" spans="1:4">
      <c r="A856" s="55"/>
      <c r="B856" s="55"/>
      <c r="C856" s="55"/>
      <c r="D856" s="55"/>
    </row>
    <row r="857" spans="1:4">
      <c r="A857" s="55"/>
      <c r="B857" s="55"/>
      <c r="C857" s="55"/>
      <c r="D857" s="55"/>
    </row>
    <row r="858" spans="1:4">
      <c r="A858" s="55"/>
      <c r="B858" s="55"/>
      <c r="C858" s="55"/>
      <c r="D858" s="55"/>
    </row>
    <row r="859" spans="1:4">
      <c r="A859" s="55"/>
      <c r="B859" s="55"/>
      <c r="C859" s="55"/>
      <c r="D859" s="55"/>
    </row>
    <row r="860" spans="1:4">
      <c r="A860" s="55"/>
      <c r="B860" s="55"/>
      <c r="C860" s="55"/>
      <c r="D860" s="55"/>
    </row>
    <row r="861" spans="1:4">
      <c r="A861" s="55"/>
      <c r="B861" s="55"/>
      <c r="C861" s="55"/>
      <c r="D861" s="55"/>
    </row>
    <row r="862" spans="1:4">
      <c r="A862" s="55"/>
      <c r="B862" s="55"/>
      <c r="C862" s="55"/>
      <c r="D862" s="55"/>
    </row>
    <row r="863" spans="1:4">
      <c r="A863" s="55"/>
      <c r="B863" s="55"/>
      <c r="C863" s="55"/>
      <c r="D863" s="55"/>
    </row>
    <row r="864" spans="1:4">
      <c r="A864" s="55"/>
      <c r="B864" s="55"/>
      <c r="C864" s="55"/>
      <c r="D864" s="55"/>
    </row>
    <row r="865" spans="1:4">
      <c r="A865" s="55"/>
      <c r="B865" s="55"/>
      <c r="C865" s="55"/>
      <c r="D865" s="55"/>
    </row>
    <row r="866" spans="1:4">
      <c r="A866" s="55"/>
      <c r="B866" s="55"/>
      <c r="C866" s="55"/>
      <c r="D866" s="55"/>
    </row>
    <row r="867" spans="1:4">
      <c r="A867" s="55"/>
      <c r="B867" s="55"/>
      <c r="C867" s="55"/>
      <c r="D867" s="55"/>
    </row>
    <row r="868" spans="1:4">
      <c r="A868" s="55"/>
      <c r="B868" s="55"/>
      <c r="C868" s="55"/>
      <c r="D868" s="55"/>
    </row>
    <row r="869" spans="1:4">
      <c r="A869" s="55"/>
      <c r="B869" s="55"/>
      <c r="C869" s="55"/>
      <c r="D869" s="55"/>
    </row>
    <row r="870" spans="1:4">
      <c r="A870" s="55"/>
      <c r="B870" s="55"/>
      <c r="C870" s="55"/>
      <c r="D870" s="55"/>
    </row>
    <row r="871" spans="1:4">
      <c r="A871" s="55"/>
      <c r="B871" s="55"/>
      <c r="C871" s="55"/>
      <c r="D871" s="55"/>
    </row>
    <row r="872" spans="1:4">
      <c r="A872" s="55"/>
      <c r="B872" s="55"/>
      <c r="C872" s="55"/>
      <c r="D872" s="55"/>
    </row>
    <row r="873" spans="1:4">
      <c r="A873" s="55"/>
      <c r="B873" s="55"/>
      <c r="C873" s="55"/>
      <c r="D873" s="55"/>
    </row>
    <row r="874" spans="1:4">
      <c r="A874" s="55"/>
      <c r="B874" s="55"/>
      <c r="C874" s="55"/>
      <c r="D874" s="55"/>
    </row>
    <row r="875" spans="1:4">
      <c r="A875" s="55"/>
      <c r="B875" s="55"/>
      <c r="C875" s="55"/>
      <c r="D875" s="55"/>
    </row>
    <row r="876" spans="1:4">
      <c r="A876" s="55"/>
      <c r="B876" s="55"/>
      <c r="C876" s="55"/>
      <c r="D876" s="55"/>
    </row>
    <row r="877" spans="1:4">
      <c r="A877" s="55"/>
      <c r="B877" s="55"/>
      <c r="C877" s="55"/>
      <c r="D877" s="55"/>
    </row>
    <row r="878" spans="1:4">
      <c r="A878" s="55"/>
      <c r="B878" s="55"/>
      <c r="C878" s="55"/>
      <c r="D878" s="55"/>
    </row>
    <row r="879" spans="1:4">
      <c r="A879" s="55"/>
      <c r="B879" s="55"/>
      <c r="C879" s="55"/>
      <c r="D879" s="55"/>
    </row>
    <row r="880" spans="1:4">
      <c r="A880" s="55"/>
      <c r="B880" s="55"/>
      <c r="C880" s="55"/>
      <c r="D880" s="55"/>
    </row>
    <row r="881" spans="1:4">
      <c r="A881" s="55"/>
      <c r="B881" s="55"/>
      <c r="C881" s="55"/>
      <c r="D881" s="55"/>
    </row>
    <row r="882" spans="1:4">
      <c r="A882" s="55"/>
      <c r="B882" s="55"/>
      <c r="C882" s="55"/>
      <c r="D882" s="55"/>
    </row>
    <row r="883" spans="1:4">
      <c r="A883" s="55"/>
      <c r="B883" s="55"/>
      <c r="C883" s="55"/>
      <c r="D883" s="55"/>
    </row>
    <row r="884" spans="1:4">
      <c r="A884" s="55"/>
      <c r="B884" s="55"/>
      <c r="C884" s="55"/>
      <c r="D884" s="55"/>
    </row>
    <row r="885" spans="1:4">
      <c r="A885" s="55"/>
      <c r="B885" s="55"/>
      <c r="C885" s="55"/>
      <c r="D885" s="55"/>
    </row>
    <row r="886" spans="1:4">
      <c r="A886" s="55"/>
      <c r="B886" s="55"/>
      <c r="C886" s="55"/>
      <c r="D886" s="55"/>
    </row>
    <row r="887" spans="1:4">
      <c r="A887" s="55"/>
      <c r="B887" s="55"/>
      <c r="C887" s="55"/>
      <c r="D887" s="55"/>
    </row>
    <row r="888" spans="1:4">
      <c r="A888" s="55"/>
      <c r="B888" s="55"/>
      <c r="C888" s="55"/>
      <c r="D888" s="55"/>
    </row>
    <row r="889" spans="1:4">
      <c r="A889" s="55"/>
      <c r="B889" s="55"/>
      <c r="C889" s="55"/>
      <c r="D889" s="55"/>
    </row>
    <row r="890" spans="1:4">
      <c r="A890" s="55"/>
      <c r="B890" s="55"/>
      <c r="C890" s="55"/>
      <c r="D890" s="55"/>
    </row>
    <row r="891" spans="1:4">
      <c r="A891" s="55"/>
      <c r="B891" s="55"/>
      <c r="C891" s="55"/>
      <c r="D891" s="55"/>
    </row>
    <row r="892" spans="1:4">
      <c r="A892" s="55"/>
      <c r="B892" s="55"/>
      <c r="C892" s="55"/>
      <c r="D892" s="55"/>
    </row>
    <row r="893" spans="1:4">
      <c r="A893" s="55"/>
      <c r="B893" s="55"/>
      <c r="C893" s="55"/>
      <c r="D893" s="55"/>
    </row>
    <row r="894" spans="1:4">
      <c r="A894" s="55"/>
      <c r="B894" s="55"/>
      <c r="C894" s="55"/>
      <c r="D894" s="55"/>
    </row>
    <row r="895" spans="1:4">
      <c r="A895" s="55"/>
      <c r="B895" s="55"/>
      <c r="C895" s="55"/>
      <c r="D895" s="55"/>
    </row>
    <row r="896" spans="1:4">
      <c r="A896" s="55"/>
      <c r="B896" s="55"/>
      <c r="C896" s="55"/>
      <c r="D896" s="55"/>
    </row>
    <row r="897" spans="1:4">
      <c r="A897" s="55"/>
      <c r="B897" s="55"/>
      <c r="C897" s="55"/>
      <c r="D897" s="55"/>
    </row>
    <row r="898" spans="1:4">
      <c r="A898" s="55"/>
      <c r="B898" s="55"/>
      <c r="C898" s="55"/>
      <c r="D898" s="55"/>
    </row>
    <row r="899" spans="1:4">
      <c r="A899" s="55"/>
      <c r="B899" s="55"/>
      <c r="C899" s="55"/>
      <c r="D899" s="55"/>
    </row>
    <row r="900" spans="1:4">
      <c r="A900" s="55"/>
      <c r="B900" s="55"/>
      <c r="C900" s="55"/>
      <c r="D900" s="55"/>
    </row>
    <row r="901" spans="1:4">
      <c r="A901" s="55"/>
      <c r="B901" s="55"/>
      <c r="C901" s="55"/>
      <c r="D901" s="55"/>
    </row>
    <row r="902" spans="1:4">
      <c r="A902" s="55"/>
      <c r="B902" s="55"/>
      <c r="C902" s="55"/>
      <c r="D902" s="55"/>
    </row>
    <row r="903" spans="1:4">
      <c r="A903" s="55"/>
      <c r="B903" s="55"/>
      <c r="C903" s="55"/>
      <c r="D903" s="55"/>
    </row>
    <row r="904" spans="1:4">
      <c r="A904" s="55"/>
      <c r="B904" s="55"/>
      <c r="C904" s="55"/>
      <c r="D904" s="55"/>
    </row>
    <row r="905" spans="1:4">
      <c r="A905" s="55"/>
      <c r="B905" s="55"/>
      <c r="C905" s="55"/>
      <c r="D905" s="55"/>
    </row>
    <row r="906" spans="1:4">
      <c r="A906" s="55"/>
      <c r="B906" s="55"/>
      <c r="C906" s="55"/>
      <c r="D906" s="55"/>
    </row>
    <row r="907" spans="1:4">
      <c r="A907" s="55"/>
      <c r="B907" s="55"/>
      <c r="C907" s="55"/>
      <c r="D907" s="55"/>
    </row>
    <row r="908" spans="1:4">
      <c r="A908" s="55"/>
      <c r="B908" s="55"/>
      <c r="C908" s="55"/>
      <c r="D908" s="55"/>
    </row>
    <row r="909" spans="1:4">
      <c r="A909" s="55"/>
      <c r="B909" s="55"/>
      <c r="C909" s="55"/>
      <c r="D909" s="55"/>
    </row>
    <row r="910" spans="1:4">
      <c r="A910" s="55"/>
      <c r="B910" s="55"/>
      <c r="C910" s="55"/>
      <c r="D910" s="55"/>
    </row>
    <row r="911" spans="1:4">
      <c r="A911" s="55"/>
      <c r="B911" s="55"/>
      <c r="C911" s="55"/>
      <c r="D911" s="55"/>
    </row>
    <row r="912" spans="1:4">
      <c r="A912" s="55"/>
      <c r="B912" s="55"/>
      <c r="C912" s="55"/>
      <c r="D912" s="55"/>
    </row>
    <row r="913" spans="1:4">
      <c r="A913" s="55"/>
      <c r="B913" s="55"/>
      <c r="C913" s="55"/>
      <c r="D913" s="55"/>
    </row>
    <row r="914" spans="1:4">
      <c r="A914" s="55"/>
      <c r="B914" s="55"/>
      <c r="C914" s="55"/>
      <c r="D914" s="55"/>
    </row>
    <row r="915" spans="1:4">
      <c r="A915" s="55"/>
      <c r="B915" s="55"/>
      <c r="C915" s="55"/>
      <c r="D915" s="55"/>
    </row>
    <row r="916" spans="1:4">
      <c r="A916" s="55"/>
      <c r="B916" s="55"/>
      <c r="C916" s="55"/>
      <c r="D916" s="55"/>
    </row>
    <row r="917" spans="1:4">
      <c r="A917" s="55"/>
      <c r="B917" s="55"/>
      <c r="C917" s="55"/>
      <c r="D917" s="55"/>
    </row>
    <row r="918" spans="1:4">
      <c r="A918" s="55"/>
      <c r="B918" s="55"/>
      <c r="C918" s="55"/>
      <c r="D918" s="55"/>
    </row>
    <row r="919" spans="1:4">
      <c r="A919" s="55"/>
      <c r="B919" s="55"/>
      <c r="C919" s="55"/>
      <c r="D919" s="55"/>
    </row>
    <row r="920" spans="1:4">
      <c r="A920" s="55"/>
      <c r="B920" s="55"/>
      <c r="C920" s="55"/>
      <c r="D920" s="55"/>
    </row>
    <row r="921" spans="1:4">
      <c r="A921" s="55"/>
      <c r="B921" s="55"/>
      <c r="C921" s="55"/>
      <c r="D921" s="55"/>
    </row>
    <row r="922" spans="1:4">
      <c r="A922" s="55"/>
      <c r="B922" s="55"/>
      <c r="C922" s="55"/>
      <c r="D922" s="55"/>
    </row>
    <row r="923" spans="1:4">
      <c r="A923" s="55"/>
      <c r="B923" s="55"/>
      <c r="C923" s="55"/>
      <c r="D923" s="55"/>
    </row>
    <row r="924" spans="1:4">
      <c r="A924" s="55"/>
      <c r="B924" s="55"/>
      <c r="C924" s="55"/>
      <c r="D924" s="55"/>
    </row>
    <row r="925" spans="1:4">
      <c r="A925" s="55"/>
      <c r="B925" s="55"/>
      <c r="C925" s="55"/>
      <c r="D925" s="55"/>
    </row>
    <row r="926" spans="1:4">
      <c r="A926" s="55"/>
      <c r="B926" s="55"/>
      <c r="C926" s="55"/>
      <c r="D926" s="55"/>
    </row>
    <row r="927" spans="1:4">
      <c r="A927" s="55"/>
      <c r="B927" s="55"/>
      <c r="C927" s="55"/>
      <c r="D927" s="55"/>
    </row>
    <row r="928" spans="1:4">
      <c r="A928" s="55"/>
      <c r="B928" s="55"/>
      <c r="C928" s="55"/>
      <c r="D928" s="55"/>
    </row>
    <row r="929" spans="1:4">
      <c r="A929" s="55"/>
      <c r="B929" s="55"/>
      <c r="C929" s="55"/>
      <c r="D929" s="55"/>
    </row>
    <row r="930" spans="1:4">
      <c r="A930" s="55"/>
      <c r="B930" s="55"/>
      <c r="C930" s="55"/>
      <c r="D930" s="55"/>
    </row>
    <row r="931" spans="1:4">
      <c r="A931" s="55"/>
      <c r="B931" s="55"/>
      <c r="C931" s="55"/>
      <c r="D931" s="55"/>
    </row>
    <row r="932" spans="1:4">
      <c r="A932" s="55"/>
      <c r="B932" s="55"/>
      <c r="C932" s="55"/>
      <c r="D932" s="55"/>
    </row>
    <row r="933" spans="1:4">
      <c r="A933" s="55"/>
      <c r="B933" s="55"/>
      <c r="C933" s="55"/>
      <c r="D933" s="55"/>
    </row>
    <row r="934" spans="1:4">
      <c r="A934" s="55"/>
      <c r="B934" s="55"/>
      <c r="C934" s="55"/>
      <c r="D934" s="55"/>
    </row>
    <row r="935" spans="1:4">
      <c r="A935" s="55"/>
      <c r="B935" s="55"/>
      <c r="C935" s="55"/>
      <c r="D935" s="55"/>
    </row>
    <row r="936" spans="1:4">
      <c r="A936" s="55"/>
      <c r="B936" s="55"/>
      <c r="C936" s="55"/>
      <c r="D936" s="55"/>
    </row>
    <row r="937" spans="1:4">
      <c r="A937" s="55"/>
      <c r="B937" s="55"/>
      <c r="C937" s="55"/>
      <c r="D937" s="55"/>
    </row>
    <row r="938" spans="1:4">
      <c r="A938" s="55"/>
      <c r="B938" s="55"/>
      <c r="C938" s="55"/>
      <c r="D938" s="55"/>
    </row>
    <row r="939" spans="1:4">
      <c r="A939" s="55"/>
      <c r="B939" s="55"/>
      <c r="C939" s="55"/>
      <c r="D939" s="55"/>
    </row>
    <row r="940" spans="1:4">
      <c r="A940" s="55"/>
      <c r="B940" s="55"/>
      <c r="C940" s="55"/>
      <c r="D940" s="55"/>
    </row>
    <row r="941" spans="1:4">
      <c r="A941" s="55"/>
      <c r="B941" s="55"/>
      <c r="C941" s="55"/>
      <c r="D941" s="55"/>
    </row>
    <row r="942" spans="1:4">
      <c r="A942" s="55"/>
      <c r="B942" s="55"/>
      <c r="C942" s="55"/>
      <c r="D942" s="55"/>
    </row>
    <row r="943" spans="1:4">
      <c r="A943" s="55"/>
      <c r="B943" s="55"/>
      <c r="C943" s="55"/>
      <c r="D943" s="55"/>
    </row>
    <row r="944" spans="1:4">
      <c r="A944" s="55"/>
      <c r="B944" s="55"/>
      <c r="C944" s="55"/>
      <c r="D944" s="55"/>
    </row>
    <row r="945" spans="1:4">
      <c r="A945" s="55"/>
      <c r="B945" s="55"/>
      <c r="C945" s="55"/>
      <c r="D945" s="55"/>
    </row>
    <row r="946" spans="1:4">
      <c r="A946" s="55"/>
      <c r="B946" s="55"/>
      <c r="C946" s="55"/>
      <c r="D946" s="55"/>
    </row>
    <row r="947" spans="1:4">
      <c r="A947" s="55"/>
      <c r="B947" s="55"/>
      <c r="C947" s="55"/>
      <c r="D947" s="55"/>
    </row>
    <row r="948" spans="1:4">
      <c r="A948" s="55"/>
      <c r="B948" s="55"/>
      <c r="C948" s="55"/>
      <c r="D948" s="55"/>
    </row>
    <row r="949" spans="1:4">
      <c r="A949" s="55"/>
      <c r="B949" s="55"/>
      <c r="C949" s="55"/>
      <c r="D949" s="55"/>
    </row>
    <row r="950" spans="1:4">
      <c r="A950" s="55"/>
      <c r="B950" s="55"/>
      <c r="C950" s="55"/>
      <c r="D950" s="55"/>
    </row>
    <row r="951" spans="1:4">
      <c r="A951" s="55"/>
      <c r="B951" s="55"/>
      <c r="C951" s="55"/>
      <c r="D951" s="55"/>
    </row>
    <row r="952" spans="1:4">
      <c r="A952" s="55"/>
      <c r="B952" s="55"/>
      <c r="C952" s="55"/>
      <c r="D952" s="55"/>
    </row>
    <row r="953" spans="1:4">
      <c r="A953" s="55"/>
      <c r="B953" s="55"/>
      <c r="C953" s="55"/>
      <c r="D953" s="55"/>
    </row>
    <row r="954" spans="1:4">
      <c r="A954" s="55"/>
      <c r="B954" s="55"/>
      <c r="C954" s="55"/>
      <c r="D954" s="55"/>
    </row>
    <row r="955" spans="1:4">
      <c r="A955" s="55"/>
      <c r="B955" s="55"/>
      <c r="C955" s="55"/>
      <c r="D955" s="55"/>
    </row>
    <row r="956" spans="1:4">
      <c r="A956" s="55"/>
      <c r="B956" s="55"/>
      <c r="C956" s="55"/>
      <c r="D956" s="55"/>
    </row>
    <row r="957" spans="1:4">
      <c r="A957" s="55"/>
      <c r="B957" s="55"/>
      <c r="C957" s="55"/>
      <c r="D957" s="55"/>
    </row>
    <row r="958" spans="1:4">
      <c r="A958" s="55"/>
      <c r="B958" s="55"/>
      <c r="C958" s="55"/>
      <c r="D958" s="55"/>
    </row>
    <row r="959" spans="1:4">
      <c r="A959" s="55"/>
      <c r="B959" s="55"/>
      <c r="C959" s="55"/>
      <c r="D959" s="55"/>
    </row>
    <row r="960" spans="1:4">
      <c r="A960" s="55"/>
      <c r="B960" s="55"/>
      <c r="C960" s="55"/>
      <c r="D960" s="55"/>
    </row>
    <row r="961" spans="1:4">
      <c r="A961" s="55"/>
      <c r="B961" s="55"/>
      <c r="C961" s="55"/>
      <c r="D961" s="55"/>
    </row>
    <row r="962" spans="1:4">
      <c r="A962" s="55"/>
      <c r="B962" s="55"/>
      <c r="C962" s="55"/>
      <c r="D962" s="55"/>
    </row>
    <row r="963" spans="1:4">
      <c r="A963" s="55"/>
      <c r="B963" s="55"/>
      <c r="C963" s="55"/>
      <c r="D963" s="55"/>
    </row>
    <row r="964" spans="1:4">
      <c r="A964" s="55"/>
      <c r="B964" s="55"/>
      <c r="C964" s="55"/>
      <c r="D964" s="55"/>
    </row>
    <row r="965" spans="1:4">
      <c r="A965" s="55"/>
      <c r="B965" s="55"/>
      <c r="C965" s="55"/>
      <c r="D965" s="55"/>
    </row>
    <row r="966" spans="1:4">
      <c r="A966" s="55"/>
      <c r="B966" s="55"/>
      <c r="C966" s="55"/>
      <c r="D966" s="55"/>
    </row>
    <row r="967" spans="1:4">
      <c r="A967" s="55"/>
      <c r="B967" s="55"/>
      <c r="C967" s="55"/>
      <c r="D967" s="55"/>
    </row>
    <row r="968" spans="1:4">
      <c r="A968" s="55"/>
      <c r="B968" s="55"/>
      <c r="C968" s="55"/>
      <c r="D968" s="55"/>
    </row>
    <row r="969" spans="1:4">
      <c r="A969" s="55"/>
      <c r="B969" s="55"/>
      <c r="C969" s="55"/>
      <c r="D969" s="55"/>
    </row>
    <row r="970" spans="1:4">
      <c r="A970" s="55"/>
      <c r="B970" s="55"/>
      <c r="C970" s="55"/>
      <c r="D970" s="55"/>
    </row>
    <row r="971" spans="1:4">
      <c r="A971" s="55"/>
      <c r="B971" s="55"/>
      <c r="C971" s="55"/>
      <c r="D971" s="55"/>
    </row>
    <row r="972" spans="1:4">
      <c r="A972" s="55"/>
      <c r="B972" s="55"/>
      <c r="C972" s="55"/>
      <c r="D972" s="55"/>
    </row>
    <row r="973" spans="1:4">
      <c r="A973" s="55"/>
      <c r="B973" s="55"/>
      <c r="C973" s="55"/>
      <c r="D973" s="55"/>
    </row>
    <row r="974" spans="1:4">
      <c r="A974" s="55"/>
      <c r="B974" s="55"/>
      <c r="C974" s="55"/>
      <c r="D974" s="55"/>
    </row>
    <row r="975" spans="1:4">
      <c r="A975" s="55"/>
      <c r="B975" s="55"/>
      <c r="C975" s="55"/>
      <c r="D975" s="55"/>
    </row>
    <row r="976" spans="1:4">
      <c r="A976" s="55"/>
      <c r="B976" s="55"/>
      <c r="C976" s="55"/>
      <c r="D976" s="55"/>
    </row>
    <row r="977" spans="1:4">
      <c r="A977" s="55"/>
      <c r="B977" s="55"/>
      <c r="C977" s="55"/>
      <c r="D977" s="55"/>
    </row>
    <row r="978" spans="1:4">
      <c r="A978" s="55"/>
      <c r="B978" s="55"/>
      <c r="C978" s="55"/>
      <c r="D978" s="55"/>
    </row>
    <row r="979" spans="1:4">
      <c r="A979" s="55"/>
      <c r="B979" s="55"/>
      <c r="C979" s="55"/>
      <c r="D979" s="55"/>
    </row>
    <row r="980" spans="1:4">
      <c r="A980" s="55"/>
      <c r="B980" s="55"/>
      <c r="C980" s="55"/>
      <c r="D980" s="55"/>
    </row>
    <row r="981" spans="1:4">
      <c r="A981" s="55"/>
      <c r="B981" s="55"/>
      <c r="C981" s="55"/>
      <c r="D981" s="55"/>
    </row>
    <row r="982" spans="1:4">
      <c r="A982" s="55"/>
      <c r="B982" s="55"/>
      <c r="C982" s="55"/>
      <c r="D982" s="55"/>
    </row>
    <row r="983" spans="1:4">
      <c r="A983" s="55"/>
      <c r="B983" s="55"/>
      <c r="C983" s="55"/>
      <c r="D983" s="55"/>
    </row>
    <row r="984" spans="1:4">
      <c r="A984" s="55"/>
      <c r="B984" s="55"/>
      <c r="C984" s="55"/>
      <c r="D984" s="55"/>
    </row>
    <row r="985" spans="1:4">
      <c r="A985" s="55"/>
      <c r="B985" s="55"/>
      <c r="C985" s="55"/>
      <c r="D985" s="55"/>
    </row>
    <row r="986" spans="1:4">
      <c r="A986" s="55"/>
      <c r="B986" s="55"/>
      <c r="C986" s="55"/>
      <c r="D986" s="55"/>
    </row>
    <row r="987" spans="1:4">
      <c r="A987" s="55"/>
      <c r="B987" s="55"/>
      <c r="C987" s="55"/>
      <c r="D987" s="55"/>
    </row>
    <row r="988" spans="1:4">
      <c r="A988" s="55"/>
      <c r="B988" s="55"/>
      <c r="C988" s="55"/>
      <c r="D988" s="55"/>
    </row>
    <row r="989" spans="1:4">
      <c r="A989" s="55"/>
      <c r="B989" s="55"/>
      <c r="C989" s="55"/>
      <c r="D989" s="55"/>
    </row>
    <row r="990" spans="1:4">
      <c r="A990" s="55"/>
      <c r="B990" s="55"/>
      <c r="C990" s="55"/>
      <c r="D990" s="55"/>
    </row>
    <row r="991" spans="1:4">
      <c r="A991" s="55"/>
      <c r="B991" s="55"/>
      <c r="C991" s="55"/>
      <c r="D991" s="55"/>
    </row>
    <row r="992" spans="1:4">
      <c r="A992" s="55"/>
      <c r="B992" s="55"/>
      <c r="C992" s="55"/>
      <c r="D992" s="55"/>
    </row>
    <row r="993" spans="1:4">
      <c r="A993" s="55"/>
      <c r="B993" s="55"/>
      <c r="C993" s="55"/>
      <c r="D993" s="55"/>
    </row>
    <row r="994" spans="1:4">
      <c r="A994" s="55"/>
      <c r="B994" s="55"/>
      <c r="C994" s="55"/>
      <c r="D994" s="55"/>
    </row>
    <row r="995" spans="1:4">
      <c r="A995" s="55"/>
      <c r="B995" s="55"/>
      <c r="C995" s="55"/>
      <c r="D995" s="55"/>
    </row>
    <row r="996" spans="1:4">
      <c r="A996" s="55"/>
      <c r="B996" s="55"/>
      <c r="C996" s="55"/>
      <c r="D996" s="55"/>
    </row>
    <row r="997" spans="1:4">
      <c r="A997" s="55"/>
      <c r="B997" s="55"/>
      <c r="C997" s="55"/>
      <c r="D997" s="55"/>
    </row>
    <row r="998" spans="1:4">
      <c r="A998" s="55"/>
      <c r="B998" s="55"/>
      <c r="C998" s="55"/>
      <c r="D998" s="55"/>
    </row>
    <row r="999" spans="1:4">
      <c r="A999" s="55"/>
      <c r="B999" s="55"/>
      <c r="C999" s="55"/>
      <c r="D999" s="55"/>
    </row>
    <row r="1000" spans="1:4">
      <c r="A1000" s="55"/>
      <c r="B1000" s="55"/>
      <c r="C1000" s="55"/>
      <c r="D1000" s="55"/>
    </row>
    <row r="1001" spans="1:4">
      <c r="A1001" s="55"/>
      <c r="B1001" s="55"/>
      <c r="C1001" s="55"/>
      <c r="D1001" s="55"/>
    </row>
    <row r="1002" spans="1:4">
      <c r="A1002" s="55"/>
      <c r="B1002" s="55"/>
      <c r="C1002" s="55"/>
      <c r="D1002" s="55"/>
    </row>
    <row r="1003" spans="1:4">
      <c r="A1003" s="55"/>
      <c r="B1003" s="55"/>
      <c r="C1003" s="55"/>
      <c r="D1003" s="55"/>
    </row>
    <row r="1004" spans="1:4">
      <c r="A1004" s="55"/>
      <c r="B1004" s="55"/>
      <c r="C1004" s="55"/>
      <c r="D1004" s="55"/>
    </row>
    <row r="1005" spans="1:4">
      <c r="A1005" s="55"/>
      <c r="B1005" s="55"/>
      <c r="C1005" s="55"/>
      <c r="D1005" s="55"/>
    </row>
    <row r="1006" spans="1:4">
      <c r="A1006" s="55"/>
      <c r="B1006" s="55"/>
      <c r="C1006" s="55"/>
      <c r="D1006" s="55"/>
    </row>
    <row r="1007" spans="1:4">
      <c r="A1007" s="55"/>
      <c r="B1007" s="55"/>
      <c r="C1007" s="55"/>
      <c r="D1007" s="55"/>
    </row>
    <row r="1008" spans="1:4">
      <c r="A1008" s="55"/>
      <c r="B1008" s="55"/>
      <c r="C1008" s="55"/>
      <c r="D1008" s="55"/>
    </row>
    <row r="1009" spans="1:4">
      <c r="A1009" s="55"/>
      <c r="B1009" s="55"/>
      <c r="C1009" s="55"/>
      <c r="D1009" s="55"/>
    </row>
    <row r="1010" spans="1:4">
      <c r="A1010" s="55"/>
      <c r="B1010" s="55"/>
      <c r="C1010" s="55"/>
      <c r="D1010" s="55"/>
    </row>
    <row r="1011" spans="1:4">
      <c r="A1011" s="55"/>
      <c r="B1011" s="55"/>
      <c r="C1011" s="55"/>
      <c r="D1011" s="55"/>
    </row>
    <row r="1012" spans="1:4">
      <c r="A1012" s="55"/>
      <c r="B1012" s="55"/>
      <c r="C1012" s="55"/>
      <c r="D1012" s="55"/>
    </row>
    <row r="1013" spans="1:4">
      <c r="A1013" s="55"/>
      <c r="B1013" s="55"/>
      <c r="C1013" s="55"/>
      <c r="D1013" s="55"/>
    </row>
    <row r="1014" spans="1:4">
      <c r="A1014" s="55"/>
      <c r="B1014" s="55"/>
      <c r="C1014" s="55"/>
      <c r="D1014" s="55"/>
    </row>
    <row r="1015" spans="1:4">
      <c r="A1015" s="55"/>
      <c r="B1015" s="55"/>
      <c r="C1015" s="55"/>
      <c r="D1015" s="55"/>
    </row>
    <row r="1016" spans="1:4">
      <c r="A1016" s="55"/>
      <c r="B1016" s="55"/>
      <c r="C1016" s="55"/>
      <c r="D1016" s="55"/>
    </row>
    <row r="1017" spans="1:4">
      <c r="A1017" s="55"/>
      <c r="B1017" s="55"/>
      <c r="C1017" s="55"/>
      <c r="D1017" s="55"/>
    </row>
    <row r="1018" spans="1:4">
      <c r="A1018" s="55"/>
      <c r="B1018" s="55"/>
      <c r="C1018" s="55"/>
      <c r="D1018" s="55"/>
    </row>
    <row r="1019" spans="1:4">
      <c r="A1019" s="55"/>
      <c r="B1019" s="55"/>
      <c r="C1019" s="55"/>
      <c r="D1019" s="55"/>
    </row>
    <row r="1020" spans="1:4">
      <c r="A1020" s="55"/>
      <c r="B1020" s="55"/>
      <c r="C1020" s="55"/>
      <c r="D1020" s="55"/>
    </row>
    <row r="1021" spans="1:4">
      <c r="A1021" s="55"/>
      <c r="B1021" s="55"/>
      <c r="C1021" s="55"/>
      <c r="D1021" s="55"/>
    </row>
    <row r="1022" spans="1:4">
      <c r="A1022" s="55"/>
      <c r="B1022" s="55"/>
      <c r="C1022" s="55"/>
      <c r="D1022" s="55"/>
    </row>
    <row r="1023" spans="1:4">
      <c r="A1023" s="55"/>
      <c r="B1023" s="55"/>
      <c r="C1023" s="55"/>
      <c r="D1023" s="55"/>
    </row>
    <row r="1024" spans="1:4">
      <c r="A1024" s="55"/>
      <c r="B1024" s="55"/>
      <c r="C1024" s="55"/>
      <c r="D1024" s="55"/>
    </row>
    <row r="1025" spans="1:4">
      <c r="A1025" s="55"/>
      <c r="B1025" s="55"/>
      <c r="C1025" s="55"/>
      <c r="D1025" s="55"/>
    </row>
    <row r="1026" spans="1:4">
      <c r="A1026" s="55"/>
      <c r="B1026" s="55"/>
      <c r="C1026" s="55"/>
      <c r="D1026" s="55"/>
    </row>
    <row r="1027" spans="1:4">
      <c r="A1027" s="55"/>
      <c r="B1027" s="55"/>
      <c r="C1027" s="55"/>
      <c r="D1027" s="55"/>
    </row>
    <row r="1028" spans="1:4">
      <c r="A1028" s="55"/>
      <c r="B1028" s="55"/>
      <c r="C1028" s="55"/>
      <c r="D1028" s="55"/>
    </row>
    <row r="1029" spans="1:4">
      <c r="A1029" s="55"/>
      <c r="B1029" s="55"/>
      <c r="C1029" s="55"/>
      <c r="D1029" s="55"/>
    </row>
    <row r="1030" spans="1:4">
      <c r="A1030" s="55"/>
      <c r="B1030" s="55"/>
      <c r="C1030" s="55"/>
      <c r="D1030" s="55"/>
    </row>
    <row r="1031" spans="1:4">
      <c r="A1031" s="55"/>
      <c r="B1031" s="55"/>
      <c r="C1031" s="55"/>
      <c r="D1031" s="55"/>
    </row>
    <row r="1032" spans="1:4">
      <c r="A1032" s="55"/>
      <c r="B1032" s="55"/>
      <c r="C1032" s="55"/>
      <c r="D1032" s="55"/>
    </row>
    <row r="1033" spans="1:4">
      <c r="A1033" s="55"/>
      <c r="B1033" s="55"/>
      <c r="C1033" s="55"/>
      <c r="D1033" s="55"/>
    </row>
    <row r="1034" spans="1:4">
      <c r="A1034" s="55"/>
      <c r="B1034" s="55"/>
      <c r="C1034" s="55"/>
      <c r="D1034" s="55"/>
    </row>
    <row r="1035" spans="1:4">
      <c r="A1035" s="55"/>
      <c r="B1035" s="55"/>
      <c r="C1035" s="55"/>
      <c r="D1035" s="55"/>
    </row>
    <row r="1036" spans="1:4">
      <c r="A1036" s="55"/>
      <c r="B1036" s="55"/>
      <c r="C1036" s="55"/>
      <c r="D1036" s="55"/>
    </row>
    <row r="1037" spans="1:4">
      <c r="A1037" s="55"/>
      <c r="B1037" s="55"/>
      <c r="C1037" s="55"/>
      <c r="D1037" s="55"/>
    </row>
    <row r="1038" spans="1:4">
      <c r="A1038" s="55"/>
      <c r="B1038" s="55"/>
      <c r="C1038" s="55"/>
      <c r="D1038" s="55"/>
    </row>
    <row r="1039" spans="1:4">
      <c r="A1039" s="55"/>
      <c r="B1039" s="55"/>
      <c r="C1039" s="55"/>
      <c r="D1039" s="55"/>
    </row>
    <row r="1040" spans="1:4">
      <c r="A1040" s="55"/>
      <c r="B1040" s="55"/>
      <c r="C1040" s="55"/>
      <c r="D1040" s="55"/>
    </row>
    <row r="1041" spans="1:4">
      <c r="A1041" s="55"/>
      <c r="B1041" s="55"/>
      <c r="C1041" s="55"/>
      <c r="D1041" s="55"/>
    </row>
    <row r="1042" spans="1:4">
      <c r="A1042" s="55"/>
      <c r="B1042" s="55"/>
      <c r="C1042" s="55"/>
      <c r="D1042" s="55"/>
    </row>
    <row r="1043" spans="1:4">
      <c r="A1043" s="55"/>
      <c r="B1043" s="55"/>
      <c r="C1043" s="55"/>
      <c r="D1043" s="55"/>
    </row>
    <row r="1044" spans="1:4">
      <c r="A1044" s="55"/>
      <c r="B1044" s="55"/>
      <c r="C1044" s="55"/>
      <c r="D1044" s="55"/>
    </row>
    <row r="1045" spans="1:4">
      <c r="A1045" s="55"/>
      <c r="B1045" s="55"/>
      <c r="C1045" s="55"/>
      <c r="D1045" s="55"/>
    </row>
    <row r="1046" spans="1:4">
      <c r="A1046" s="55"/>
      <c r="B1046" s="55"/>
      <c r="C1046" s="55"/>
      <c r="D1046" s="55"/>
    </row>
    <row r="1047" spans="1:4">
      <c r="A1047" s="55"/>
      <c r="B1047" s="55"/>
      <c r="C1047" s="55"/>
      <c r="D1047" s="55"/>
    </row>
    <row r="1048" spans="1:4">
      <c r="A1048" s="55"/>
      <c r="B1048" s="55"/>
      <c r="C1048" s="55"/>
      <c r="D1048" s="55"/>
    </row>
    <row r="1049" spans="1:4">
      <c r="A1049" s="55"/>
      <c r="B1049" s="55"/>
      <c r="C1049" s="55"/>
      <c r="D1049" s="55"/>
    </row>
    <row r="1050" spans="1:4">
      <c r="A1050" s="55"/>
      <c r="B1050" s="55"/>
      <c r="C1050" s="55"/>
      <c r="D1050" s="55"/>
    </row>
    <row r="1051" spans="1:4">
      <c r="A1051" s="55"/>
      <c r="B1051" s="55"/>
      <c r="C1051" s="55"/>
      <c r="D1051" s="55"/>
    </row>
    <row r="1052" spans="1:4">
      <c r="A1052" s="55"/>
      <c r="B1052" s="55"/>
      <c r="C1052" s="55"/>
      <c r="D1052" s="55"/>
    </row>
    <row r="1053" spans="1:4">
      <c r="A1053" s="55"/>
      <c r="B1053" s="55"/>
      <c r="C1053" s="55"/>
      <c r="D1053" s="55"/>
    </row>
    <row r="1054" spans="1:4">
      <c r="A1054" s="55"/>
      <c r="B1054" s="55"/>
      <c r="C1054" s="55"/>
      <c r="D1054" s="55"/>
    </row>
    <row r="1055" spans="1:4">
      <c r="A1055" s="55"/>
      <c r="B1055" s="55"/>
      <c r="C1055" s="55"/>
      <c r="D1055" s="55"/>
    </row>
    <row r="1056" spans="1:4">
      <c r="A1056" s="55"/>
      <c r="B1056" s="55"/>
      <c r="C1056" s="55"/>
      <c r="D1056" s="55"/>
    </row>
    <row r="1057" spans="1:4">
      <c r="A1057" s="55"/>
      <c r="B1057" s="55"/>
      <c r="C1057" s="55"/>
      <c r="D1057" s="55"/>
    </row>
    <row r="1058" spans="1:4">
      <c r="A1058" s="55"/>
      <c r="B1058" s="55"/>
      <c r="C1058" s="55"/>
      <c r="D1058" s="55"/>
    </row>
    <row r="1059" spans="1:4">
      <c r="A1059" s="55"/>
      <c r="B1059" s="55"/>
      <c r="C1059" s="55"/>
      <c r="D1059" s="55"/>
    </row>
    <row r="1060" spans="1:4">
      <c r="A1060" s="55"/>
      <c r="B1060" s="55"/>
      <c r="C1060" s="55"/>
      <c r="D1060" s="55"/>
    </row>
    <row r="1061" spans="1:4">
      <c r="A1061" s="55"/>
      <c r="B1061" s="55"/>
      <c r="C1061" s="55"/>
      <c r="D1061" s="55"/>
    </row>
    <row r="1062" spans="1:4">
      <c r="A1062" s="55"/>
      <c r="B1062" s="55"/>
      <c r="C1062" s="55"/>
      <c r="D1062" s="55"/>
    </row>
    <row r="1063" spans="1:4">
      <c r="A1063" s="55"/>
      <c r="B1063" s="55"/>
      <c r="C1063" s="55"/>
      <c r="D1063" s="55"/>
    </row>
    <row r="1064" spans="1:4">
      <c r="A1064" s="55"/>
      <c r="B1064" s="55"/>
      <c r="C1064" s="55"/>
      <c r="D1064" s="55"/>
    </row>
    <row r="1065" spans="1:4">
      <c r="A1065" s="55"/>
      <c r="B1065" s="55"/>
      <c r="C1065" s="55"/>
      <c r="D1065" s="55"/>
    </row>
    <row r="1066" spans="1:4">
      <c r="A1066" s="55"/>
      <c r="B1066" s="55"/>
      <c r="C1066" s="55"/>
      <c r="D1066" s="55"/>
    </row>
    <row r="1067" spans="1:4">
      <c r="A1067" s="55"/>
      <c r="B1067" s="55"/>
      <c r="C1067" s="55"/>
      <c r="D1067" s="55"/>
    </row>
    <row r="1068" spans="1:4">
      <c r="A1068" s="55"/>
      <c r="B1068" s="55"/>
      <c r="C1068" s="55"/>
      <c r="D1068" s="55"/>
    </row>
    <row r="1069" spans="1:4">
      <c r="A1069" s="55"/>
      <c r="B1069" s="55"/>
      <c r="C1069" s="55"/>
      <c r="D1069" s="55"/>
    </row>
    <row r="1070" spans="1:4">
      <c r="A1070" s="55"/>
      <c r="B1070" s="55"/>
      <c r="C1070" s="55"/>
      <c r="D1070" s="55"/>
    </row>
    <row r="1071" spans="1:4">
      <c r="A1071" s="55"/>
      <c r="B1071" s="55"/>
      <c r="C1071" s="55"/>
      <c r="D1071" s="55"/>
    </row>
    <row r="1072" spans="1:4">
      <c r="A1072" s="55"/>
      <c r="B1072" s="55"/>
      <c r="C1072" s="55"/>
      <c r="D1072" s="55"/>
    </row>
    <row r="1073" spans="1:4">
      <c r="A1073" s="55"/>
      <c r="B1073" s="55"/>
      <c r="C1073" s="55"/>
      <c r="D1073" s="55"/>
    </row>
    <row r="1074" spans="1:4">
      <c r="A1074" s="55"/>
      <c r="B1074" s="55"/>
      <c r="C1074" s="55"/>
      <c r="D1074" s="55"/>
    </row>
    <row r="1075" spans="1:4">
      <c r="A1075" s="55"/>
      <c r="B1075" s="55"/>
      <c r="C1075" s="55"/>
      <c r="D1075" s="55"/>
    </row>
    <row r="1076" spans="1:4">
      <c r="A1076" s="55"/>
      <c r="B1076" s="55"/>
      <c r="C1076" s="55"/>
      <c r="D1076" s="55"/>
    </row>
    <row r="1077" spans="1:4">
      <c r="A1077" s="55"/>
      <c r="B1077" s="55"/>
      <c r="C1077" s="55"/>
      <c r="D1077" s="55"/>
    </row>
    <row r="1078" spans="1:4">
      <c r="A1078" s="55"/>
      <c r="B1078" s="55"/>
      <c r="C1078" s="55"/>
      <c r="D1078" s="55"/>
    </row>
    <row r="1079" spans="1:4">
      <c r="A1079" s="55"/>
      <c r="B1079" s="55"/>
      <c r="C1079" s="55"/>
      <c r="D1079" s="55"/>
    </row>
    <row r="1080" spans="1:4">
      <c r="A1080" s="55"/>
      <c r="B1080" s="55"/>
      <c r="C1080" s="55"/>
      <c r="D1080" s="55"/>
    </row>
    <row r="1081" spans="1:4">
      <c r="A1081" s="55"/>
      <c r="B1081" s="55"/>
      <c r="C1081" s="55"/>
      <c r="D1081" s="55"/>
    </row>
    <row r="1082" spans="1:4">
      <c r="A1082" s="55"/>
      <c r="B1082" s="55"/>
      <c r="C1082" s="55"/>
      <c r="D1082" s="55"/>
    </row>
    <row r="1083" spans="1:4">
      <c r="A1083" s="55"/>
      <c r="B1083" s="55"/>
      <c r="C1083" s="55"/>
      <c r="D1083" s="55"/>
    </row>
    <row r="1084" spans="1:4">
      <c r="A1084" s="55"/>
      <c r="B1084" s="55"/>
      <c r="C1084" s="55"/>
      <c r="D1084" s="55"/>
    </row>
    <row r="1085" spans="1:4">
      <c r="A1085" s="55"/>
      <c r="B1085" s="55"/>
      <c r="C1085" s="55"/>
      <c r="D1085" s="55"/>
    </row>
    <row r="1086" spans="1:4">
      <c r="A1086" s="55"/>
      <c r="B1086" s="55"/>
      <c r="C1086" s="55"/>
      <c r="D1086" s="55"/>
    </row>
    <row r="1087" spans="1:4">
      <c r="A1087" s="55"/>
      <c r="B1087" s="55"/>
      <c r="C1087" s="55"/>
      <c r="D1087" s="55"/>
    </row>
    <row r="1088" spans="1:4">
      <c r="A1088" s="55"/>
      <c r="B1088" s="55"/>
      <c r="C1088" s="55"/>
      <c r="D1088" s="55"/>
    </row>
    <row r="1089" spans="1:4">
      <c r="A1089" s="55"/>
      <c r="B1089" s="55"/>
      <c r="C1089" s="55"/>
      <c r="D1089" s="55"/>
    </row>
    <row r="1090" spans="1:4">
      <c r="A1090" s="55"/>
      <c r="B1090" s="55"/>
      <c r="C1090" s="55"/>
      <c r="D1090" s="55"/>
    </row>
    <row r="1091" spans="1:4">
      <c r="A1091" s="55"/>
      <c r="B1091" s="55"/>
      <c r="C1091" s="55"/>
      <c r="D1091" s="55"/>
    </row>
    <row r="1092" spans="1:4">
      <c r="A1092" s="55"/>
      <c r="B1092" s="55"/>
      <c r="C1092" s="55"/>
      <c r="D1092" s="55"/>
    </row>
    <row r="1093" spans="1:4">
      <c r="A1093" s="55"/>
      <c r="B1093" s="55"/>
      <c r="C1093" s="55"/>
      <c r="D1093" s="55"/>
    </row>
    <row r="1094" spans="1:4">
      <c r="A1094" s="55"/>
      <c r="B1094" s="55"/>
      <c r="C1094" s="55"/>
      <c r="D1094" s="55"/>
    </row>
    <row r="1095" spans="1:4">
      <c r="A1095" s="55"/>
      <c r="B1095" s="55"/>
      <c r="C1095" s="55"/>
      <c r="D1095" s="55"/>
    </row>
    <row r="1096" spans="1:4">
      <c r="A1096" s="55"/>
      <c r="B1096" s="55"/>
      <c r="C1096" s="55"/>
      <c r="D1096" s="55"/>
    </row>
    <row r="1097" spans="1:4">
      <c r="A1097" s="55"/>
      <c r="B1097" s="55"/>
      <c r="C1097" s="55"/>
      <c r="D1097" s="55"/>
    </row>
    <row r="1098" spans="1:4">
      <c r="A1098" s="55"/>
      <c r="B1098" s="55"/>
      <c r="C1098" s="55"/>
      <c r="D1098" s="55"/>
    </row>
    <row r="1099" spans="1:4">
      <c r="A1099" s="55"/>
      <c r="B1099" s="55"/>
      <c r="C1099" s="55"/>
      <c r="D1099" s="55"/>
    </row>
    <row r="1100" spans="1:4">
      <c r="A1100" s="55"/>
      <c r="B1100" s="55"/>
      <c r="C1100" s="55"/>
      <c r="D1100" s="55"/>
    </row>
    <row r="1101" spans="1:4">
      <c r="A1101" s="55"/>
      <c r="B1101" s="55"/>
      <c r="C1101" s="55"/>
      <c r="D1101" s="55"/>
    </row>
    <row r="1102" spans="1:4">
      <c r="A1102" s="55"/>
      <c r="B1102" s="55"/>
      <c r="C1102" s="55"/>
      <c r="D1102" s="55"/>
    </row>
    <row r="1103" spans="1:4">
      <c r="A1103" s="55"/>
      <c r="B1103" s="55"/>
      <c r="C1103" s="55"/>
      <c r="D1103" s="55"/>
    </row>
    <row r="1104" spans="1:4">
      <c r="A1104" s="55"/>
      <c r="B1104" s="55"/>
      <c r="C1104" s="55"/>
      <c r="D1104" s="55"/>
    </row>
    <row r="1105" spans="1:4">
      <c r="A1105" s="55"/>
      <c r="B1105" s="55"/>
      <c r="C1105" s="55"/>
      <c r="D1105" s="55"/>
    </row>
    <row r="1106" spans="1:4">
      <c r="A1106" s="55"/>
      <c r="B1106" s="55"/>
      <c r="C1106" s="55"/>
      <c r="D1106" s="55"/>
    </row>
  </sheetData>
  <customSheetViews>
    <customSheetView guid="{FA833650-9147-48FF-9246-B3943D91CD8D}">
      <selection activeCell="A2" sqref="A2:D2"/>
      <pageMargins left="0.7" right="0.7" top="0.75" bottom="0.75" header="0.3" footer="0.3"/>
      <pageSetup paperSize="9" orientation="portrait" verticalDpi="0" r:id="rId1"/>
    </customSheetView>
  </customSheetViews>
  <mergeCells count="10">
    <mergeCell ref="B10:D10"/>
    <mergeCell ref="A11:D11"/>
    <mergeCell ref="B12:D12"/>
    <mergeCell ref="A13:D13"/>
    <mergeCell ref="A3:D3"/>
    <mergeCell ref="A4:D4"/>
    <mergeCell ref="A6:D6"/>
    <mergeCell ref="A7:D7"/>
    <mergeCell ref="B8:D8"/>
    <mergeCell ref="A9:D9"/>
  </mergeCells>
  <pageMargins left="0.7" right="0.7" top="0.75" bottom="0.75" header="0.3" footer="0.3"/>
  <pageSetup paperSize="9" orientation="portrait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21"/>
  <sheetViews>
    <sheetView zoomScaleNormal="100" zoomScaleSheetLayoutView="100" workbookViewId="0">
      <selection activeCell="G15" sqref="G15"/>
    </sheetView>
  </sheetViews>
  <sheetFormatPr defaultColWidth="9.08984375" defaultRowHeight="12.5"/>
  <cols>
    <col min="1" max="1" width="63.90625" style="16" customWidth="1"/>
    <col min="2" max="2" width="12.54296875" style="16" customWidth="1"/>
    <col min="3" max="3" width="15.36328125" style="16" customWidth="1"/>
    <col min="4" max="4" width="19.08984375" style="16" customWidth="1"/>
    <col min="5" max="5" width="17.08984375" style="16" customWidth="1"/>
    <col min="6" max="16384" width="9.08984375" style="16"/>
  </cols>
  <sheetData>
    <row r="1" spans="1:5">
      <c r="A1" s="34"/>
      <c r="B1" s="34"/>
      <c r="C1" s="34"/>
      <c r="D1" s="34"/>
      <c r="E1" s="34"/>
    </row>
    <row r="2" spans="1:5">
      <c r="A2" s="34"/>
      <c r="B2" s="34"/>
      <c r="C2" s="34"/>
      <c r="D2" s="34"/>
      <c r="E2" s="34"/>
    </row>
    <row r="3" spans="1:5">
      <c r="A3" s="34"/>
      <c r="B3" s="34"/>
      <c r="C3" s="34"/>
      <c r="D3" s="34"/>
      <c r="E3" s="34"/>
    </row>
    <row r="4" spans="1:5">
      <c r="A4" s="34"/>
      <c r="B4" s="34"/>
      <c r="C4" s="34"/>
      <c r="D4" s="34"/>
      <c r="E4" s="34"/>
    </row>
    <row r="5" spans="1:5">
      <c r="A5" s="34"/>
      <c r="B5" s="34"/>
      <c r="C5" s="34"/>
      <c r="D5" s="34"/>
      <c r="E5" s="34"/>
    </row>
    <row r="6" spans="1:5" ht="21.65" customHeight="1">
      <c r="A6" s="526"/>
      <c r="B6" s="526"/>
      <c r="C6" s="34"/>
      <c r="D6" s="34"/>
      <c r="E6" s="34"/>
    </row>
    <row r="7" spans="1:5" ht="18" customHeight="1">
      <c r="A7" s="85"/>
      <c r="B7" s="86"/>
      <c r="C7" s="86"/>
      <c r="D7" s="86"/>
      <c r="E7" s="86"/>
    </row>
    <row r="8" spans="1:5" ht="20.25" customHeight="1">
      <c r="A8" s="527" t="s">
        <v>1152</v>
      </c>
      <c r="B8" s="528"/>
      <c r="C8" s="125" t="s">
        <v>259</v>
      </c>
      <c r="D8" s="125" t="s">
        <v>901</v>
      </c>
      <c r="E8" s="125" t="s">
        <v>1153</v>
      </c>
    </row>
    <row r="9" spans="1:5" ht="13">
      <c r="A9" s="121"/>
      <c r="B9" s="121"/>
      <c r="C9" s="121"/>
      <c r="D9" s="121"/>
      <c r="E9" s="121"/>
    </row>
    <row r="10" spans="1:5" ht="20" customHeight="1">
      <c r="A10" s="126" t="s">
        <v>469</v>
      </c>
      <c r="B10" s="127"/>
      <c r="C10" s="468">
        <f>'Бытовая серия'!K3</f>
        <v>0</v>
      </c>
      <c r="D10" s="128">
        <f>'Бытовая серия'!N3</f>
        <v>0</v>
      </c>
      <c r="E10" s="128">
        <f>'Бытовая серия'!Q3</f>
        <v>0</v>
      </c>
    </row>
    <row r="11" spans="1:5" ht="20" customHeight="1">
      <c r="A11" s="122" t="s">
        <v>470</v>
      </c>
      <c r="B11" s="121"/>
      <c r="C11" s="469">
        <f>'Кассетные блоки'!K3</f>
        <v>0</v>
      </c>
      <c r="D11" s="123">
        <f>'Кассетные блоки'!N3</f>
        <v>0</v>
      </c>
      <c r="E11" s="123">
        <f>'Кассетные блоки'!Q3</f>
        <v>0</v>
      </c>
    </row>
    <row r="12" spans="1:5" ht="20" customHeight="1">
      <c r="A12" s="126" t="s">
        <v>471</v>
      </c>
      <c r="B12" s="127"/>
      <c r="C12" s="470">
        <f>'Канальные блоки'!K3</f>
        <v>0</v>
      </c>
      <c r="D12" s="129">
        <f>'Канальные блоки'!N3</f>
        <v>0</v>
      </c>
      <c r="E12" s="129">
        <f>'Канальные блоки'!Q3</f>
        <v>0</v>
      </c>
    </row>
    <row r="13" spans="1:5" ht="20" customHeight="1">
      <c r="A13" s="122" t="s">
        <v>472</v>
      </c>
      <c r="B13" s="121"/>
      <c r="C13" s="469">
        <f>'Универсальные блоки'!K3</f>
        <v>0</v>
      </c>
      <c r="D13" s="123">
        <f>'Универсальные блоки'!N3</f>
        <v>0</v>
      </c>
      <c r="E13" s="123">
        <f>'Универсальные блоки'!Q3</f>
        <v>0</v>
      </c>
    </row>
    <row r="14" spans="1:5" ht="20" customHeight="1">
      <c r="A14" s="126" t="s">
        <v>533</v>
      </c>
      <c r="B14" s="130"/>
      <c r="C14" s="470">
        <f>'Big Multi'!I3</f>
        <v>0</v>
      </c>
      <c r="D14" s="129">
        <f>'Big Multi'!L3</f>
        <v>0</v>
      </c>
      <c r="E14" s="129">
        <f>'Big Multi'!O3</f>
        <v>0</v>
      </c>
    </row>
    <row r="15" spans="1:5" s="36" customFormat="1" ht="20" customHeight="1">
      <c r="A15" s="122" t="s">
        <v>532</v>
      </c>
      <c r="B15" s="121"/>
      <c r="C15" s="471">
        <f>'Flexible Multi'!K3</f>
        <v>0</v>
      </c>
      <c r="D15" s="124">
        <f>'Flexible Multi'!N3</f>
        <v>0</v>
      </c>
      <c r="E15" s="124">
        <f>'Flexible Multi'!Q3</f>
        <v>0</v>
      </c>
    </row>
    <row r="16" spans="1:5" ht="20" customHeight="1">
      <c r="A16" s="126" t="s">
        <v>477</v>
      </c>
      <c r="B16" s="127"/>
      <c r="C16" s="470">
        <f>VRF!I3</f>
        <v>0</v>
      </c>
      <c r="D16" s="129">
        <f>VRF!L3</f>
        <v>0</v>
      </c>
      <c r="E16" s="129">
        <f>VRF!O3</f>
        <v>0</v>
      </c>
    </row>
    <row r="17" spans="1:5" s="36" customFormat="1" ht="20" customHeight="1">
      <c r="A17" s="122" t="s">
        <v>473</v>
      </c>
      <c r="B17" s="121"/>
      <c r="C17" s="471">
        <f>' WaterStage'!H3</f>
        <v>0</v>
      </c>
      <c r="D17" s="124">
        <f>' WaterStage'!K3</f>
        <v>0</v>
      </c>
      <c r="E17" s="124">
        <f>' WaterStage'!N3</f>
        <v>0</v>
      </c>
    </row>
    <row r="18" spans="1:5" s="36" customFormat="1" ht="20" customHeight="1">
      <c r="A18" s="126" t="s">
        <v>1753</v>
      </c>
      <c r="B18" s="127"/>
      <c r="C18" s="470">
        <f>'Зимний комплект'!K3</f>
        <v>0</v>
      </c>
      <c r="D18" s="129">
        <f>'Зимний комплект'!N3</f>
        <v>0</v>
      </c>
      <c r="E18" s="129">
        <f>'Зимний комплект'!Q3</f>
        <v>0</v>
      </c>
    </row>
    <row r="19" spans="1:5" s="31" customFormat="1" ht="48" customHeight="1">
      <c r="A19" s="286" t="s">
        <v>456</v>
      </c>
      <c r="B19" s="287"/>
      <c r="C19" s="472">
        <f>SUM(C10:C18)</f>
        <v>0</v>
      </c>
      <c r="D19" s="288">
        <f>SUM(D10:D18)</f>
        <v>0</v>
      </c>
      <c r="E19" s="288">
        <f>SUM(E10:E18)</f>
        <v>0</v>
      </c>
    </row>
    <row r="21" spans="1:5">
      <c r="A21" s="79" t="s">
        <v>535</v>
      </c>
    </row>
  </sheetData>
  <protectedRanges>
    <protectedRange sqref="B8" name="Диапазон1"/>
  </protectedRanges>
  <customSheetViews>
    <customSheetView guid="{FA833650-9147-48FF-9246-B3943D91CD8D}">
      <selection activeCell="L22" sqref="L22"/>
      <pageMargins left="0.7" right="0.7" top="0.75" bottom="0.75" header="0.3" footer="0.3"/>
      <pageSetup paperSize="9" orientation="landscape" r:id="rId1"/>
    </customSheetView>
  </customSheetViews>
  <mergeCells count="2">
    <mergeCell ref="A6:B6"/>
    <mergeCell ref="A8:B8"/>
  </mergeCells>
  <conditionalFormatting sqref="A7">
    <cfRule type="duplicateValues" dxfId="214" priority="1" stopIfTrue="1"/>
    <cfRule type="duplicateValues" dxfId="213" priority="2" stopIfTrue="1"/>
  </conditionalFormatting>
  <hyperlinks>
    <hyperlink ref="A10" location="'Бытовая серия'!Заголовки_для_печати" display="БЫТОВЫЕ СПЛИТ-СИСТЕМЫ"/>
    <hyperlink ref="A11" location="'Кассетные блоки'!A1" display="Кассетные сплит-системы"/>
    <hyperlink ref="A12" location="'Канальные блоки'!A1" display="Канальные сплит-системы"/>
    <hyperlink ref="A13" location="'Универсальные блоки'!A1" display="Универсальные сплит-системы"/>
    <hyperlink ref="A15" location="'Flexible Multi'!A1" display="Мультисплит-системы свободной компоновки FLEXIBLE MULTI"/>
    <hyperlink ref="A16" location="'VRF VII, VIII и VR II'!A1" display="Мультизональные системы (VRF)"/>
    <hyperlink ref="A17" location="' WaterStage'!A1" display="Тепловые насосы &quot;воздух-вода&quot; WATERSTAGE"/>
    <hyperlink ref="A14" location="'Big Multi'!A1" display="Мультисплит-системы фиксированной компоновки BIG MULTI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83"/>
  <sheetViews>
    <sheetView tabSelected="1" showWhiteSpace="0" zoomScale="70" zoomScaleNormal="70" zoomScaleSheetLayoutView="80" zoomScalePageLayoutView="55" workbookViewId="0">
      <pane ySplit="6" topLeftCell="A19" activePane="bottomLeft" state="frozen"/>
      <selection pane="bottomLeft" activeCell="I37" sqref="I37:I38"/>
    </sheetView>
  </sheetViews>
  <sheetFormatPr defaultRowHeight="13"/>
  <cols>
    <col min="1" max="1" width="21" style="5" customWidth="1"/>
    <col min="2" max="2" width="19.54296875" style="5" customWidth="1"/>
    <col min="3" max="4" width="10.6328125" style="5" customWidth="1"/>
    <col min="5" max="7" width="11.6328125" style="5" customWidth="1"/>
    <col min="8" max="8" width="11.6328125" style="6" customWidth="1"/>
    <col min="9" max="9" width="16.54296875" style="6" customWidth="1"/>
    <col min="10" max="10" width="10.90625" style="5" customWidth="1"/>
    <col min="11" max="11" width="12.6328125" style="5" customWidth="1"/>
    <col min="12" max="14" width="11.6328125" style="5" customWidth="1"/>
    <col min="15" max="15" width="15.6328125" style="15" customWidth="1"/>
    <col min="16" max="16" width="9.6328125" style="5" customWidth="1"/>
    <col min="17" max="17" width="12.08984375" style="5" customWidth="1"/>
    <col min="18" max="18" width="14.6328125" style="32" customWidth="1"/>
    <col min="19" max="19" width="9.08984375" style="32" customWidth="1"/>
    <col min="20" max="20" width="5.08984375" style="32" customWidth="1"/>
    <col min="21" max="57" width="9.08984375" style="32" customWidth="1"/>
  </cols>
  <sheetData>
    <row r="1" spans="1:57" ht="45" customHeight="1">
      <c r="A1" s="203"/>
      <c r="B1" s="203"/>
      <c r="C1" s="204"/>
      <c r="D1" s="203"/>
      <c r="E1" s="209"/>
      <c r="F1" s="203"/>
      <c r="G1" s="210"/>
      <c r="H1" s="211"/>
      <c r="I1" s="203"/>
      <c r="J1" s="203"/>
      <c r="K1" s="206"/>
      <c r="L1" s="206"/>
      <c r="M1" s="206"/>
      <c r="N1" s="206"/>
      <c r="O1" s="206"/>
      <c r="P1" s="212" t="s">
        <v>479</v>
      </c>
      <c r="Q1" s="208"/>
      <c r="S1" s="55"/>
      <c r="AY1"/>
      <c r="AZ1"/>
      <c r="BA1"/>
      <c r="BB1"/>
      <c r="BC1"/>
      <c r="BD1"/>
      <c r="BE1"/>
    </row>
    <row r="2" spans="1:57" ht="15" customHeight="1" thickBot="1">
      <c r="A2" s="203"/>
      <c r="B2" s="203"/>
      <c r="C2" s="204"/>
      <c r="D2" s="205"/>
      <c r="E2" s="203"/>
      <c r="F2" s="203"/>
      <c r="G2" s="203"/>
      <c r="H2" s="211"/>
      <c r="I2" s="203"/>
      <c r="J2" s="203"/>
      <c r="K2" s="206"/>
      <c r="L2" s="206"/>
      <c r="M2" s="206"/>
      <c r="N2" s="213"/>
      <c r="O2" s="206"/>
      <c r="P2" s="208"/>
      <c r="Q2" s="214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/>
      <c r="AZ2"/>
      <c r="BA2"/>
      <c r="BB2"/>
      <c r="BC2"/>
      <c r="BD2"/>
      <c r="BE2"/>
    </row>
    <row r="3" spans="1:57" ht="20" customHeight="1" thickBot="1">
      <c r="A3" s="38"/>
      <c r="B3" s="132"/>
      <c r="C3" s="327" t="s">
        <v>1151</v>
      </c>
      <c r="D3" s="131">
        <v>0.27</v>
      </c>
      <c r="E3" s="38"/>
      <c r="F3" s="326"/>
      <c r="G3" s="325" t="s">
        <v>1751</v>
      </c>
      <c r="H3" s="131">
        <v>0.35</v>
      </c>
      <c r="I3" s="43"/>
      <c r="J3" s="325" t="s">
        <v>480</v>
      </c>
      <c r="K3" s="322">
        <f>SUM(N10:N184)</f>
        <v>0</v>
      </c>
      <c r="L3" s="570" t="s">
        <v>900</v>
      </c>
      <c r="M3" s="570"/>
      <c r="N3" s="134">
        <f>SUMPRODUCT(J10:J184,P10:P184)</f>
        <v>0</v>
      </c>
      <c r="O3" s="570" t="s">
        <v>478</v>
      </c>
      <c r="P3" s="570"/>
      <c r="Q3" s="134">
        <f>SUMPRODUCT(J10:J184,Q10:Q184)</f>
        <v>0</v>
      </c>
      <c r="AY3"/>
      <c r="AZ3"/>
      <c r="BA3"/>
      <c r="BB3"/>
      <c r="BC3"/>
      <c r="BD3"/>
      <c r="BE3"/>
    </row>
    <row r="4" spans="1:57" s="11" customFormat="1" ht="10.25" customHeight="1">
      <c r="A4" s="190"/>
      <c r="B4" s="191"/>
      <c r="C4" s="117"/>
      <c r="D4" s="192"/>
      <c r="E4" s="192"/>
      <c r="F4" s="192"/>
      <c r="G4" s="192"/>
      <c r="H4" s="193"/>
      <c r="I4" s="193"/>
      <c r="J4" s="117"/>
      <c r="K4" s="117"/>
      <c r="L4" s="117"/>
      <c r="M4" s="117"/>
      <c r="N4" s="117"/>
      <c r="O4" s="117"/>
      <c r="P4" s="117"/>
      <c r="Q4" s="177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</row>
    <row r="5" spans="1:57" ht="35" customHeight="1">
      <c r="A5" s="575" t="s">
        <v>47</v>
      </c>
      <c r="B5" s="194" t="s">
        <v>26</v>
      </c>
      <c r="C5" s="577" t="s">
        <v>48</v>
      </c>
      <c r="D5" s="577"/>
      <c r="E5" s="577" t="s">
        <v>85</v>
      </c>
      <c r="F5" s="577"/>
      <c r="G5" s="571" t="s">
        <v>492</v>
      </c>
      <c r="H5" s="578" t="s">
        <v>493</v>
      </c>
      <c r="I5" s="563" t="s">
        <v>740</v>
      </c>
      <c r="J5" s="580" t="s">
        <v>28</v>
      </c>
      <c r="K5" s="561" t="s">
        <v>22</v>
      </c>
      <c r="L5" s="559" t="s">
        <v>490</v>
      </c>
      <c r="M5" s="573" t="s">
        <v>491</v>
      </c>
      <c r="N5" s="559" t="s">
        <v>27</v>
      </c>
      <c r="O5" s="572" t="s">
        <v>318</v>
      </c>
      <c r="P5" s="572" t="s">
        <v>23</v>
      </c>
      <c r="Q5" s="557" t="s">
        <v>24</v>
      </c>
      <c r="BC5"/>
      <c r="BD5"/>
      <c r="BE5"/>
    </row>
    <row r="6" spans="1:57" ht="35" customHeight="1" thickBot="1">
      <c r="A6" s="576"/>
      <c r="B6" s="364" t="s">
        <v>25</v>
      </c>
      <c r="C6" s="365" t="s">
        <v>49</v>
      </c>
      <c r="D6" s="365" t="s">
        <v>50</v>
      </c>
      <c r="E6" s="365" t="s">
        <v>86</v>
      </c>
      <c r="F6" s="365" t="s">
        <v>87</v>
      </c>
      <c r="G6" s="558"/>
      <c r="H6" s="579"/>
      <c r="I6" s="564"/>
      <c r="J6" s="581"/>
      <c r="K6" s="562"/>
      <c r="L6" s="560"/>
      <c r="M6" s="574"/>
      <c r="N6" s="560"/>
      <c r="O6" s="558"/>
      <c r="P6" s="558"/>
      <c r="Q6" s="558"/>
      <c r="Y6" s="136"/>
    </row>
    <row r="7" spans="1:57" ht="51" customHeight="1" thickBot="1">
      <c r="A7" s="628" t="s">
        <v>1088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  <c r="P7" s="629"/>
      <c r="Q7" s="630"/>
      <c r="R7" s="92"/>
      <c r="S7" s="92"/>
      <c r="T7" s="92"/>
      <c r="U7" s="92"/>
      <c r="V7" s="92"/>
      <c r="W7" s="92"/>
      <c r="X7" s="92"/>
      <c r="Y7" s="40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</row>
    <row r="8" spans="1:57" ht="30" customHeight="1">
      <c r="A8" s="617" t="s">
        <v>822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7"/>
      <c r="O8" s="618"/>
      <c r="P8" s="618"/>
      <c r="Q8" s="618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</row>
    <row r="9" spans="1:57" ht="30" customHeight="1">
      <c r="A9" s="606" t="s">
        <v>1095</v>
      </c>
      <c r="B9" s="607"/>
      <c r="C9" s="607"/>
      <c r="D9" s="607"/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08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</row>
    <row r="10" spans="1:57" ht="15" customHeight="1">
      <c r="A10" s="530" t="s">
        <v>1089</v>
      </c>
      <c r="B10" s="143" t="s">
        <v>1089</v>
      </c>
      <c r="C10" s="535">
        <v>3.4</v>
      </c>
      <c r="D10" s="535">
        <v>5</v>
      </c>
      <c r="E10" s="535" t="s">
        <v>1091</v>
      </c>
      <c r="F10" s="535" t="s">
        <v>1092</v>
      </c>
      <c r="G10" s="533">
        <f>H10+H11</f>
        <v>2304</v>
      </c>
      <c r="H10" s="146">
        <v>922</v>
      </c>
      <c r="I10" s="532">
        <v>168300</v>
      </c>
      <c r="J10" s="139"/>
      <c r="K10" s="145">
        <f>$D$3</f>
        <v>0.27</v>
      </c>
      <c r="L10" s="550">
        <f>SUM(G10-(G10*K10))</f>
        <v>1681.92</v>
      </c>
      <c r="M10" s="146">
        <f t="shared" ref="M10:M11" si="0">SUM(H10-(H10*K10))</f>
        <v>673.06</v>
      </c>
      <c r="N10" s="358">
        <f t="shared" ref="N10:N11" si="1">J10*M10</f>
        <v>0</v>
      </c>
      <c r="O10" s="339" t="s">
        <v>1093</v>
      </c>
      <c r="P10" s="336">
        <v>8.6999999999999994E-2</v>
      </c>
      <c r="Q10" s="367">
        <v>20</v>
      </c>
      <c r="R10" s="92"/>
      <c r="S10" s="92"/>
      <c r="T10" s="92"/>
      <c r="U10" s="92"/>
      <c r="V10" s="92"/>
      <c r="W10" s="92"/>
      <c r="X10" s="92"/>
      <c r="Y10" s="40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</row>
    <row r="11" spans="1:57" ht="15" customHeight="1">
      <c r="A11" s="531"/>
      <c r="B11" s="143" t="s">
        <v>1090</v>
      </c>
      <c r="C11" s="536"/>
      <c r="D11" s="536"/>
      <c r="E11" s="535"/>
      <c r="F11" s="535"/>
      <c r="G11" s="534"/>
      <c r="H11" s="146">
        <v>1382</v>
      </c>
      <c r="I11" s="532"/>
      <c r="J11" s="139"/>
      <c r="K11" s="145">
        <f>$D$3</f>
        <v>0.27</v>
      </c>
      <c r="L11" s="550"/>
      <c r="M11" s="146">
        <f t="shared" si="0"/>
        <v>1008.8599999999999</v>
      </c>
      <c r="N11" s="358">
        <f t="shared" si="1"/>
        <v>0</v>
      </c>
      <c r="O11" s="339" t="s">
        <v>1094</v>
      </c>
      <c r="P11" s="336">
        <v>0.182</v>
      </c>
      <c r="Q11" s="367">
        <v>41</v>
      </c>
      <c r="R11" s="92"/>
      <c r="S11" s="92"/>
      <c r="T11" s="92"/>
      <c r="U11" s="92"/>
      <c r="V11" s="92"/>
      <c r="W11" s="92"/>
      <c r="X11" s="92"/>
      <c r="Y11" s="40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</row>
    <row r="12" spans="1:57" ht="51" customHeight="1" thickBot="1">
      <c r="A12" s="603" t="s">
        <v>76</v>
      </c>
      <c r="B12" s="604"/>
      <c r="C12" s="604"/>
      <c r="D12" s="604"/>
      <c r="E12" s="604"/>
      <c r="F12" s="604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5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</row>
    <row r="13" spans="1:57" ht="30" customHeight="1">
      <c r="A13" s="617" t="s">
        <v>80</v>
      </c>
      <c r="B13" s="618"/>
      <c r="C13" s="618"/>
      <c r="D13" s="618"/>
      <c r="E13" s="618"/>
      <c r="F13" s="618"/>
      <c r="G13" s="618"/>
      <c r="H13" s="618"/>
      <c r="I13" s="618"/>
      <c r="J13" s="618"/>
      <c r="K13" s="618"/>
      <c r="L13" s="618"/>
      <c r="M13" s="618"/>
      <c r="N13" s="620"/>
      <c r="O13" s="618"/>
      <c r="P13" s="618"/>
      <c r="Q13" s="621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</row>
    <row r="14" spans="1:57" ht="30" customHeight="1">
      <c r="A14" s="606" t="s">
        <v>77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8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</row>
    <row r="15" spans="1:57" s="7" customFormat="1" ht="15" customHeight="1">
      <c r="A15" s="530" t="s">
        <v>58</v>
      </c>
      <c r="B15" s="143" t="s">
        <v>58</v>
      </c>
      <c r="C15" s="543" t="s">
        <v>963</v>
      </c>
      <c r="D15" s="543" t="s">
        <v>964</v>
      </c>
      <c r="E15" s="535" t="s">
        <v>91</v>
      </c>
      <c r="F15" s="535" t="s">
        <v>92</v>
      </c>
      <c r="G15" s="533">
        <f>H15+H16</f>
        <v>1769</v>
      </c>
      <c r="H15" s="146">
        <v>708</v>
      </c>
      <c r="I15" s="532">
        <v>129200</v>
      </c>
      <c r="J15" s="139"/>
      <c r="K15" s="145">
        <f t="shared" ref="K15:K20" si="2">$D$3</f>
        <v>0.27</v>
      </c>
      <c r="L15" s="550">
        <f>SUM(G15-(G15*K15))</f>
        <v>1291.3699999999999</v>
      </c>
      <c r="M15" s="146">
        <f t="shared" ref="M15:M20" si="3">SUM(H15-(H15*K15))</f>
        <v>516.83999999999992</v>
      </c>
      <c r="N15" s="358">
        <f t="shared" ref="N15:N20" si="4">J15*M15</f>
        <v>0</v>
      </c>
      <c r="O15" s="339" t="s">
        <v>325</v>
      </c>
      <c r="P15" s="336">
        <v>8.5000000000000006E-2</v>
      </c>
      <c r="Q15" s="367">
        <v>12</v>
      </c>
      <c r="R15" s="57"/>
      <c r="S15" s="92"/>
      <c r="T15" s="92"/>
      <c r="U15" s="92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</row>
    <row r="16" spans="1:57" s="7" customFormat="1" ht="15" customHeight="1">
      <c r="A16" s="531"/>
      <c r="B16" s="143" t="s">
        <v>59</v>
      </c>
      <c r="C16" s="544"/>
      <c r="D16" s="544"/>
      <c r="E16" s="535"/>
      <c r="F16" s="535"/>
      <c r="G16" s="534"/>
      <c r="H16" s="146">
        <v>1061</v>
      </c>
      <c r="I16" s="532"/>
      <c r="J16" s="139"/>
      <c r="K16" s="145">
        <f t="shared" si="2"/>
        <v>0.27</v>
      </c>
      <c r="L16" s="550"/>
      <c r="M16" s="146">
        <f t="shared" si="3"/>
        <v>774.53</v>
      </c>
      <c r="N16" s="358">
        <f t="shared" si="4"/>
        <v>0</v>
      </c>
      <c r="O16" s="339" t="s">
        <v>322</v>
      </c>
      <c r="P16" s="336">
        <v>0.23599999999999999</v>
      </c>
      <c r="Q16" s="367">
        <v>40</v>
      </c>
      <c r="R16" s="57"/>
      <c r="S16" s="92"/>
      <c r="T16" s="92"/>
      <c r="U16" s="92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</row>
    <row r="17" spans="1:57" s="7" customFormat="1" ht="15" customHeight="1">
      <c r="A17" s="530" t="s">
        <v>57</v>
      </c>
      <c r="B17" s="143" t="s">
        <v>57</v>
      </c>
      <c r="C17" s="543" t="s">
        <v>965</v>
      </c>
      <c r="D17" s="543" t="s">
        <v>966</v>
      </c>
      <c r="E17" s="535" t="s">
        <v>88</v>
      </c>
      <c r="F17" s="535" t="s">
        <v>93</v>
      </c>
      <c r="G17" s="533">
        <f>H17+H18</f>
        <v>1922</v>
      </c>
      <c r="H17" s="146">
        <v>769</v>
      </c>
      <c r="I17" s="532">
        <v>140400</v>
      </c>
      <c r="J17" s="139"/>
      <c r="K17" s="145">
        <f t="shared" si="2"/>
        <v>0.27</v>
      </c>
      <c r="L17" s="550">
        <f>SUM(G17-(G17*K17))</f>
        <v>1403.06</v>
      </c>
      <c r="M17" s="146">
        <f t="shared" si="3"/>
        <v>561.37</v>
      </c>
      <c r="N17" s="358">
        <f t="shared" si="4"/>
        <v>0</v>
      </c>
      <c r="O17" s="339" t="s">
        <v>325</v>
      </c>
      <c r="P17" s="336">
        <v>8.5000000000000006E-2</v>
      </c>
      <c r="Q17" s="367">
        <v>12</v>
      </c>
      <c r="R17" s="57"/>
      <c r="S17" s="92"/>
      <c r="T17" s="92"/>
      <c r="U17" s="92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</row>
    <row r="18" spans="1:57" s="7" customFormat="1" ht="15" customHeight="1">
      <c r="A18" s="531"/>
      <c r="B18" s="143" t="s">
        <v>60</v>
      </c>
      <c r="C18" s="544"/>
      <c r="D18" s="544"/>
      <c r="E18" s="535"/>
      <c r="F18" s="535"/>
      <c r="G18" s="534"/>
      <c r="H18" s="146">
        <v>1153</v>
      </c>
      <c r="I18" s="532"/>
      <c r="J18" s="139"/>
      <c r="K18" s="145">
        <f t="shared" si="2"/>
        <v>0.27</v>
      </c>
      <c r="L18" s="550"/>
      <c r="M18" s="146">
        <f t="shared" si="3"/>
        <v>841.69</v>
      </c>
      <c r="N18" s="358">
        <f t="shared" si="4"/>
        <v>0</v>
      </c>
      <c r="O18" s="339" t="s">
        <v>323</v>
      </c>
      <c r="P18" s="336">
        <v>0.26600000000000001</v>
      </c>
      <c r="Q18" s="367">
        <v>43</v>
      </c>
      <c r="R18" s="57"/>
      <c r="S18" s="92"/>
      <c r="T18" s="92"/>
      <c r="U18" s="92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</row>
    <row r="19" spans="1:57" s="7" customFormat="1" ht="15" customHeight="1">
      <c r="A19" s="530" t="s">
        <v>56</v>
      </c>
      <c r="B19" s="143" t="s">
        <v>56</v>
      </c>
      <c r="C19" s="543" t="s">
        <v>967</v>
      </c>
      <c r="D19" s="543" t="s">
        <v>968</v>
      </c>
      <c r="E19" s="535" t="s">
        <v>90</v>
      </c>
      <c r="F19" s="535" t="s">
        <v>94</v>
      </c>
      <c r="G19" s="533">
        <f>H19+H20</f>
        <v>2177</v>
      </c>
      <c r="H19" s="146">
        <v>871</v>
      </c>
      <c r="I19" s="532">
        <v>159000</v>
      </c>
      <c r="J19" s="139"/>
      <c r="K19" s="145">
        <f t="shared" si="2"/>
        <v>0.27</v>
      </c>
      <c r="L19" s="550">
        <f>SUM(G19-(G19*K19))</f>
        <v>1589.21</v>
      </c>
      <c r="M19" s="146">
        <f t="shared" si="3"/>
        <v>635.82999999999993</v>
      </c>
      <c r="N19" s="358">
        <f t="shared" si="4"/>
        <v>0</v>
      </c>
      <c r="O19" s="339" t="s">
        <v>325</v>
      </c>
      <c r="P19" s="336">
        <v>8.5000000000000006E-2</v>
      </c>
      <c r="Q19" s="367">
        <v>12</v>
      </c>
      <c r="R19" s="57"/>
      <c r="S19" s="92"/>
      <c r="T19" s="92"/>
      <c r="U19" s="92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</row>
    <row r="20" spans="1:57" s="7" customFormat="1" ht="15" customHeight="1">
      <c r="A20" s="531"/>
      <c r="B20" s="143" t="s">
        <v>182</v>
      </c>
      <c r="C20" s="544"/>
      <c r="D20" s="544"/>
      <c r="E20" s="535"/>
      <c r="F20" s="535"/>
      <c r="G20" s="534"/>
      <c r="H20" s="146">
        <v>1306</v>
      </c>
      <c r="I20" s="532"/>
      <c r="J20" s="139"/>
      <c r="K20" s="145">
        <f t="shared" si="2"/>
        <v>0.27</v>
      </c>
      <c r="L20" s="550"/>
      <c r="M20" s="146">
        <f t="shared" si="3"/>
        <v>953.38</v>
      </c>
      <c r="N20" s="358">
        <f t="shared" si="4"/>
        <v>0</v>
      </c>
      <c r="O20" s="339" t="s">
        <v>323</v>
      </c>
      <c r="P20" s="336">
        <v>0.26600000000000001</v>
      </c>
      <c r="Q20" s="367">
        <v>43</v>
      </c>
      <c r="R20" s="57"/>
      <c r="S20" s="92"/>
      <c r="T20" s="92"/>
      <c r="U20" s="92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</row>
    <row r="21" spans="1:57" s="7" customFormat="1" ht="52.5" customHeight="1" thickBot="1">
      <c r="A21" s="552" t="s">
        <v>78</v>
      </c>
      <c r="B21" s="553"/>
      <c r="C21" s="553"/>
      <c r="D21" s="553"/>
      <c r="E21" s="553"/>
      <c r="F21" s="553"/>
      <c r="G21" s="553"/>
      <c r="H21" s="553"/>
      <c r="I21" s="553"/>
      <c r="J21" s="553"/>
      <c r="K21" s="553"/>
      <c r="L21" s="553"/>
      <c r="M21" s="553"/>
      <c r="N21" s="553"/>
      <c r="O21" s="553"/>
      <c r="P21" s="553"/>
      <c r="Q21" s="554"/>
      <c r="R21" s="57"/>
      <c r="S21" s="92"/>
      <c r="T21" s="92"/>
      <c r="U21" s="92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</row>
    <row r="22" spans="1:57" s="7" customFormat="1" ht="30" customHeight="1">
      <c r="A22" s="617" t="s">
        <v>80</v>
      </c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20"/>
      <c r="O22" s="618"/>
      <c r="P22" s="618"/>
      <c r="Q22" s="621"/>
      <c r="R22" s="57"/>
      <c r="S22" s="92"/>
      <c r="T22" s="92"/>
      <c r="U22" s="92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</row>
    <row r="23" spans="1:57" ht="30" customHeight="1">
      <c r="A23" s="537" t="s">
        <v>79</v>
      </c>
      <c r="B23" s="538"/>
      <c r="C23" s="538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9"/>
      <c r="R23" s="55"/>
      <c r="S23" s="92"/>
      <c r="T23" s="92"/>
      <c r="U23" s="92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</row>
    <row r="24" spans="1:57" s="7" customFormat="1" ht="15" customHeight="1">
      <c r="A24" s="530" t="s">
        <v>37</v>
      </c>
      <c r="B24" s="143" t="s">
        <v>37</v>
      </c>
      <c r="C24" s="543" t="s">
        <v>963</v>
      </c>
      <c r="D24" s="543" t="s">
        <v>964</v>
      </c>
      <c r="E24" s="535" t="s">
        <v>91</v>
      </c>
      <c r="F24" s="535" t="s">
        <v>92</v>
      </c>
      <c r="G24" s="533">
        <f>H24+H25</f>
        <v>1433</v>
      </c>
      <c r="H24" s="146">
        <v>573</v>
      </c>
      <c r="I24" s="532">
        <v>104700</v>
      </c>
      <c r="J24" s="139"/>
      <c r="K24" s="145">
        <f>$D$3</f>
        <v>0.27</v>
      </c>
      <c r="L24" s="550">
        <f>SUM(G24-(G24*K24))</f>
        <v>1046.0899999999999</v>
      </c>
      <c r="M24" s="146">
        <f>SUM(H24-(H24*K24))</f>
        <v>418.28999999999996</v>
      </c>
      <c r="N24" s="358">
        <f>M24*J24</f>
        <v>0</v>
      </c>
      <c r="O24" s="141" t="s">
        <v>324</v>
      </c>
      <c r="P24" s="336">
        <v>8.5000000000000006E-2</v>
      </c>
      <c r="Q24" s="367">
        <v>12</v>
      </c>
      <c r="R24" s="57"/>
      <c r="S24" s="92"/>
      <c r="T24" s="92"/>
      <c r="U24" s="92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</row>
    <row r="25" spans="1:57" s="7" customFormat="1" ht="15" customHeight="1">
      <c r="A25" s="531"/>
      <c r="B25" s="143" t="s">
        <v>39</v>
      </c>
      <c r="C25" s="544"/>
      <c r="D25" s="544"/>
      <c r="E25" s="535"/>
      <c r="F25" s="535"/>
      <c r="G25" s="534"/>
      <c r="H25" s="146">
        <v>860</v>
      </c>
      <c r="I25" s="532"/>
      <c r="J25" s="139"/>
      <c r="K25" s="145">
        <f>$D$3</f>
        <v>0.27</v>
      </c>
      <c r="L25" s="550"/>
      <c r="M25" s="146">
        <f>SUM(H25-(H25*K25))</f>
        <v>627.79999999999995</v>
      </c>
      <c r="N25" s="358">
        <f>M25*J25</f>
        <v>0</v>
      </c>
      <c r="O25" s="141" t="s">
        <v>322</v>
      </c>
      <c r="P25" s="336">
        <v>0.24199999999999999</v>
      </c>
      <c r="Q25" s="367">
        <v>37</v>
      </c>
      <c r="R25" s="57"/>
      <c r="S25" s="92"/>
      <c r="T25" s="92"/>
      <c r="U25" s="92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</row>
    <row r="26" spans="1:57" s="7" customFormat="1" ht="15" customHeight="1">
      <c r="A26" s="530" t="s">
        <v>38</v>
      </c>
      <c r="B26" s="143" t="s">
        <v>38</v>
      </c>
      <c r="C26" s="543" t="s">
        <v>965</v>
      </c>
      <c r="D26" s="543" t="s">
        <v>966</v>
      </c>
      <c r="E26" s="535" t="s">
        <v>88</v>
      </c>
      <c r="F26" s="535" t="s">
        <v>93</v>
      </c>
      <c r="G26" s="533">
        <f>H26+H27</f>
        <v>1658</v>
      </c>
      <c r="H26" s="146">
        <v>663</v>
      </c>
      <c r="I26" s="532">
        <v>121100</v>
      </c>
      <c r="J26" s="139"/>
      <c r="K26" s="145">
        <f>$D$3</f>
        <v>0.27</v>
      </c>
      <c r="L26" s="550">
        <f>SUM(G26-(G26*K26))</f>
        <v>1210.3399999999999</v>
      </c>
      <c r="M26" s="146">
        <f>SUM(H26-(H26*K26))</f>
        <v>483.99</v>
      </c>
      <c r="N26" s="358">
        <f>M26*J26</f>
        <v>0</v>
      </c>
      <c r="O26" s="141" t="s">
        <v>324</v>
      </c>
      <c r="P26" s="336">
        <v>8.5000000000000006E-2</v>
      </c>
      <c r="Q26" s="367">
        <v>12</v>
      </c>
      <c r="R26" s="57"/>
      <c r="S26" s="92"/>
      <c r="T26" s="92"/>
      <c r="U26" s="92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</row>
    <row r="27" spans="1:57" s="7" customFormat="1" ht="15" customHeight="1">
      <c r="A27" s="531"/>
      <c r="B27" s="143" t="s">
        <v>40</v>
      </c>
      <c r="C27" s="544"/>
      <c r="D27" s="544"/>
      <c r="E27" s="535"/>
      <c r="F27" s="535"/>
      <c r="G27" s="534"/>
      <c r="H27" s="146">
        <v>995</v>
      </c>
      <c r="I27" s="532"/>
      <c r="J27" s="139"/>
      <c r="K27" s="145">
        <f>$D$3</f>
        <v>0.27</v>
      </c>
      <c r="L27" s="550"/>
      <c r="M27" s="146">
        <f>SUM(H27-(H27*K27))</f>
        <v>726.34999999999991</v>
      </c>
      <c r="N27" s="358">
        <f>M27*J27</f>
        <v>0</v>
      </c>
      <c r="O27" s="339" t="s">
        <v>323</v>
      </c>
      <c r="P27" s="336">
        <v>0.26600000000000001</v>
      </c>
      <c r="Q27" s="367">
        <v>43</v>
      </c>
      <c r="R27" s="57"/>
      <c r="S27" s="92"/>
      <c r="T27" s="92"/>
      <c r="U27" s="92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</row>
    <row r="28" spans="1:57" s="1" customFormat="1" ht="49.5" customHeight="1" thickBot="1">
      <c r="A28" s="609" t="s">
        <v>1074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1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</row>
    <row r="29" spans="1:57" ht="30" customHeight="1">
      <c r="A29" s="617" t="s">
        <v>822</v>
      </c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119"/>
      <c r="O29" s="120"/>
      <c r="P29" s="120"/>
      <c r="Q29" s="368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</row>
    <row r="30" spans="1:57" ht="30" customHeight="1">
      <c r="A30" s="537" t="s">
        <v>1109</v>
      </c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9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</row>
    <row r="31" spans="1:57" s="1" customFormat="1" ht="15" customHeight="1">
      <c r="A31" s="530" t="s">
        <v>846</v>
      </c>
      <c r="B31" s="135" t="s">
        <v>846</v>
      </c>
      <c r="C31" s="540" t="s">
        <v>923</v>
      </c>
      <c r="D31" s="540" t="s">
        <v>924</v>
      </c>
      <c r="E31" s="542" t="s">
        <v>823</v>
      </c>
      <c r="F31" s="542" t="s">
        <v>823</v>
      </c>
      <c r="G31" s="619">
        <v>1245</v>
      </c>
      <c r="H31" s="354">
        <v>535</v>
      </c>
      <c r="I31" s="532">
        <v>91000</v>
      </c>
      <c r="J31" s="139"/>
      <c r="K31" s="140">
        <f t="shared" ref="K31:K38" si="5">$D$3</f>
        <v>0.27</v>
      </c>
      <c r="L31" s="529">
        <f>SUM(G31-(G31*K31))</f>
        <v>908.84999999999991</v>
      </c>
      <c r="M31" s="354">
        <f t="shared" ref="M31:M38" si="6">SUM(H31-(H31*K31))</f>
        <v>390.54999999999995</v>
      </c>
      <c r="N31" s="358">
        <f t="shared" ref="N31:N38" si="7">J31*M31</f>
        <v>0</v>
      </c>
      <c r="O31" s="141" t="s">
        <v>889</v>
      </c>
      <c r="P31" s="142">
        <v>8.4000000000000005E-2</v>
      </c>
      <c r="Q31" s="369">
        <v>12.5</v>
      </c>
      <c r="R31" s="93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</row>
    <row r="32" spans="1:57" s="1" customFormat="1" ht="15" customHeight="1">
      <c r="A32" s="531"/>
      <c r="B32" s="135" t="s">
        <v>824</v>
      </c>
      <c r="C32" s="541"/>
      <c r="D32" s="541"/>
      <c r="E32" s="542"/>
      <c r="F32" s="542"/>
      <c r="G32" s="534"/>
      <c r="H32" s="354">
        <v>710</v>
      </c>
      <c r="I32" s="532"/>
      <c r="J32" s="139"/>
      <c r="K32" s="140">
        <f t="shared" si="5"/>
        <v>0.27</v>
      </c>
      <c r="L32" s="529"/>
      <c r="M32" s="354">
        <f t="shared" si="6"/>
        <v>518.29999999999995</v>
      </c>
      <c r="N32" s="358">
        <f t="shared" si="7"/>
        <v>0</v>
      </c>
      <c r="O32" s="141" t="s">
        <v>887</v>
      </c>
      <c r="P32" s="142">
        <v>0.21199999999999999</v>
      </c>
      <c r="Q32" s="369">
        <v>34</v>
      </c>
      <c r="R32" s="93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</row>
    <row r="33" spans="1:57" s="1" customFormat="1" ht="15" customHeight="1">
      <c r="A33" s="530" t="s">
        <v>847</v>
      </c>
      <c r="B33" s="135" t="s">
        <v>847</v>
      </c>
      <c r="C33" s="540" t="s">
        <v>925</v>
      </c>
      <c r="D33" s="540" t="s">
        <v>926</v>
      </c>
      <c r="E33" s="542" t="s">
        <v>825</v>
      </c>
      <c r="F33" s="542" t="s">
        <v>823</v>
      </c>
      <c r="G33" s="619">
        <v>1312</v>
      </c>
      <c r="H33" s="354">
        <v>565</v>
      </c>
      <c r="I33" s="532">
        <v>95900</v>
      </c>
      <c r="J33" s="139"/>
      <c r="K33" s="140">
        <f t="shared" si="5"/>
        <v>0.27</v>
      </c>
      <c r="L33" s="529">
        <f>SUM(G33-(G33*K33))</f>
        <v>957.76</v>
      </c>
      <c r="M33" s="354">
        <f t="shared" si="6"/>
        <v>412.45</v>
      </c>
      <c r="N33" s="358">
        <f t="shared" si="7"/>
        <v>0</v>
      </c>
      <c r="O33" s="141" t="s">
        <v>889</v>
      </c>
      <c r="P33" s="142">
        <v>8.4000000000000005E-2</v>
      </c>
      <c r="Q33" s="369">
        <v>12.5</v>
      </c>
      <c r="R33" s="93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</row>
    <row r="34" spans="1:57" s="1" customFormat="1" ht="15" customHeight="1">
      <c r="A34" s="531"/>
      <c r="B34" s="135" t="s">
        <v>826</v>
      </c>
      <c r="C34" s="541"/>
      <c r="D34" s="541"/>
      <c r="E34" s="542"/>
      <c r="F34" s="542"/>
      <c r="G34" s="534"/>
      <c r="H34" s="354">
        <v>747</v>
      </c>
      <c r="I34" s="532"/>
      <c r="J34" s="139"/>
      <c r="K34" s="140">
        <f t="shared" si="5"/>
        <v>0.27</v>
      </c>
      <c r="L34" s="529"/>
      <c r="M34" s="354">
        <f t="shared" si="6"/>
        <v>545.30999999999995</v>
      </c>
      <c r="N34" s="358">
        <f t="shared" si="7"/>
        <v>0</v>
      </c>
      <c r="O34" s="141" t="s">
        <v>887</v>
      </c>
      <c r="P34" s="142">
        <v>0.21199999999999999</v>
      </c>
      <c r="Q34" s="369">
        <v>34</v>
      </c>
      <c r="R34" s="93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</row>
    <row r="35" spans="1:57" s="1" customFormat="1" ht="15" customHeight="1">
      <c r="A35" s="530" t="s">
        <v>848</v>
      </c>
      <c r="B35" s="135" t="s">
        <v>848</v>
      </c>
      <c r="C35" s="540" t="s">
        <v>927</v>
      </c>
      <c r="D35" s="540" t="s">
        <v>928</v>
      </c>
      <c r="E35" s="542" t="s">
        <v>827</v>
      </c>
      <c r="F35" s="542" t="s">
        <v>828</v>
      </c>
      <c r="G35" s="619">
        <v>1518</v>
      </c>
      <c r="H35" s="354">
        <v>653</v>
      </c>
      <c r="I35" s="532">
        <v>110900</v>
      </c>
      <c r="J35" s="139"/>
      <c r="K35" s="140">
        <f t="shared" si="5"/>
        <v>0.27</v>
      </c>
      <c r="L35" s="529">
        <f>SUM(G35-(G35*K35))</f>
        <v>1108.1399999999999</v>
      </c>
      <c r="M35" s="354">
        <f t="shared" si="6"/>
        <v>476.69</v>
      </c>
      <c r="N35" s="358">
        <f t="shared" si="7"/>
        <v>0</v>
      </c>
      <c r="O35" s="141" t="s">
        <v>889</v>
      </c>
      <c r="P35" s="142">
        <v>8.4000000000000005E-2</v>
      </c>
      <c r="Q35" s="369">
        <v>12.5</v>
      </c>
      <c r="R35" s="93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</row>
    <row r="36" spans="1:57" s="1" customFormat="1" ht="15" customHeight="1">
      <c r="A36" s="531"/>
      <c r="B36" s="135" t="s">
        <v>829</v>
      </c>
      <c r="C36" s="541"/>
      <c r="D36" s="541"/>
      <c r="E36" s="542"/>
      <c r="F36" s="542"/>
      <c r="G36" s="534"/>
      <c r="H36" s="354">
        <v>865</v>
      </c>
      <c r="I36" s="532"/>
      <c r="J36" s="139"/>
      <c r="K36" s="140">
        <f t="shared" si="5"/>
        <v>0.27</v>
      </c>
      <c r="L36" s="529"/>
      <c r="M36" s="354">
        <f t="shared" si="6"/>
        <v>631.45000000000005</v>
      </c>
      <c r="N36" s="358">
        <f t="shared" si="7"/>
        <v>0</v>
      </c>
      <c r="O36" s="141" t="s">
        <v>887</v>
      </c>
      <c r="P36" s="142">
        <v>0.21199999999999999</v>
      </c>
      <c r="Q36" s="369">
        <v>35</v>
      </c>
      <c r="R36" s="93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</row>
    <row r="37" spans="1:57" ht="15" customHeight="1">
      <c r="A37" s="530" t="s">
        <v>849</v>
      </c>
      <c r="B37" s="143" t="s">
        <v>849</v>
      </c>
      <c r="C37" s="543" t="s">
        <v>929</v>
      </c>
      <c r="D37" s="543" t="s">
        <v>930</v>
      </c>
      <c r="E37" s="556" t="s">
        <v>830</v>
      </c>
      <c r="F37" s="556" t="s">
        <v>860</v>
      </c>
      <c r="G37" s="619">
        <v>1737</v>
      </c>
      <c r="H37" s="144">
        <v>747</v>
      </c>
      <c r="I37" s="532">
        <v>126900</v>
      </c>
      <c r="J37" s="139"/>
      <c r="K37" s="145">
        <f t="shared" si="5"/>
        <v>0.27</v>
      </c>
      <c r="L37" s="529">
        <f>SUM(G37-(G37*K37))</f>
        <v>1268.01</v>
      </c>
      <c r="M37" s="144">
        <f t="shared" si="6"/>
        <v>545.30999999999995</v>
      </c>
      <c r="N37" s="358">
        <f t="shared" si="7"/>
        <v>0</v>
      </c>
      <c r="O37" s="141" t="s">
        <v>889</v>
      </c>
      <c r="P37" s="142">
        <v>8.4000000000000005E-2</v>
      </c>
      <c r="Q37" s="370">
        <v>13</v>
      </c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</row>
    <row r="38" spans="1:57" ht="15" customHeight="1">
      <c r="A38" s="531"/>
      <c r="B38" s="143" t="s">
        <v>831</v>
      </c>
      <c r="C38" s="544"/>
      <c r="D38" s="544"/>
      <c r="E38" s="556"/>
      <c r="F38" s="556"/>
      <c r="G38" s="534"/>
      <c r="H38" s="144">
        <v>990</v>
      </c>
      <c r="I38" s="532"/>
      <c r="J38" s="139"/>
      <c r="K38" s="145">
        <f t="shared" si="5"/>
        <v>0.27</v>
      </c>
      <c r="L38" s="529"/>
      <c r="M38" s="144">
        <f t="shared" si="6"/>
        <v>722.7</v>
      </c>
      <c r="N38" s="358">
        <f t="shared" si="7"/>
        <v>0</v>
      </c>
      <c r="O38" s="141" t="s">
        <v>887</v>
      </c>
      <c r="P38" s="142">
        <v>0.21199999999999999</v>
      </c>
      <c r="Q38" s="370">
        <v>36</v>
      </c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</row>
    <row r="39" spans="1:57" ht="44.25" customHeight="1">
      <c r="A39" s="552" t="s">
        <v>83</v>
      </c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7"/>
      <c r="S39" s="92"/>
      <c r="T39" s="92"/>
      <c r="U39" s="92"/>
    </row>
    <row r="40" spans="1:57" ht="35.25" customHeight="1">
      <c r="A40" s="612" t="s">
        <v>80</v>
      </c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613"/>
      <c r="N40" s="613"/>
      <c r="O40" s="613"/>
      <c r="P40" s="613"/>
      <c r="Q40" s="614"/>
      <c r="S40" s="92"/>
      <c r="T40" s="92"/>
      <c r="U40" s="92"/>
    </row>
    <row r="41" spans="1:57" ht="30" customHeight="1">
      <c r="A41" s="537" t="s">
        <v>84</v>
      </c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9"/>
      <c r="S41" s="92"/>
      <c r="T41" s="92"/>
      <c r="U41" s="92"/>
    </row>
    <row r="42" spans="1:57" s="7" customFormat="1" ht="15" customHeight="1">
      <c r="A42" s="530" t="s">
        <v>253</v>
      </c>
      <c r="B42" s="135" t="s">
        <v>253</v>
      </c>
      <c r="C42" s="540" t="s">
        <v>937</v>
      </c>
      <c r="D42" s="540" t="s">
        <v>950</v>
      </c>
      <c r="E42" s="555" t="s">
        <v>102</v>
      </c>
      <c r="F42" s="555" t="s">
        <v>112</v>
      </c>
      <c r="G42" s="533">
        <f>H42+H43</f>
        <v>1365</v>
      </c>
      <c r="H42" s="146">
        <v>546</v>
      </c>
      <c r="I42" s="532">
        <v>99700</v>
      </c>
      <c r="J42" s="139"/>
      <c r="K42" s="145">
        <f t="shared" ref="K42:K47" si="8">$D$3</f>
        <v>0.27</v>
      </c>
      <c r="L42" s="550">
        <f>SUM(G42-(G42*K42))</f>
        <v>996.45</v>
      </c>
      <c r="M42" s="146">
        <f t="shared" ref="M42:M47" si="9">SUM(H42-(H42*K42))</f>
        <v>398.58</v>
      </c>
      <c r="N42" s="358">
        <f t="shared" ref="N42:N47" si="10">M42*J42</f>
        <v>0</v>
      </c>
      <c r="O42" s="141" t="s">
        <v>321</v>
      </c>
      <c r="P42" s="336">
        <v>7.0999999999999994E-2</v>
      </c>
      <c r="Q42" s="370">
        <v>10.5</v>
      </c>
      <c r="R42" s="37"/>
      <c r="S42" s="92"/>
      <c r="T42" s="92"/>
      <c r="U42" s="92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</row>
    <row r="43" spans="1:57" s="7" customFormat="1" ht="15" customHeight="1">
      <c r="A43" s="531"/>
      <c r="B43" s="135" t="s">
        <v>256</v>
      </c>
      <c r="C43" s="541"/>
      <c r="D43" s="541"/>
      <c r="E43" s="555"/>
      <c r="F43" s="555"/>
      <c r="G43" s="534"/>
      <c r="H43" s="146">
        <v>819</v>
      </c>
      <c r="I43" s="532"/>
      <c r="J43" s="139"/>
      <c r="K43" s="145">
        <f t="shared" si="8"/>
        <v>0.27</v>
      </c>
      <c r="L43" s="550"/>
      <c r="M43" s="146">
        <f t="shared" si="9"/>
        <v>597.87</v>
      </c>
      <c r="N43" s="358">
        <f t="shared" si="10"/>
        <v>0</v>
      </c>
      <c r="O43" s="141" t="s">
        <v>322</v>
      </c>
      <c r="P43" s="336">
        <v>0.224</v>
      </c>
      <c r="Q43" s="370">
        <v>40</v>
      </c>
      <c r="R43" s="37"/>
      <c r="S43" s="92"/>
      <c r="T43" s="92"/>
      <c r="U43" s="92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</row>
    <row r="44" spans="1:57" s="7" customFormat="1" ht="15" customHeight="1">
      <c r="A44" s="530" t="s">
        <v>254</v>
      </c>
      <c r="B44" s="135" t="s">
        <v>254</v>
      </c>
      <c r="C44" s="540" t="s">
        <v>951</v>
      </c>
      <c r="D44" s="540" t="s">
        <v>952</v>
      </c>
      <c r="E44" s="555" t="s">
        <v>114</v>
      </c>
      <c r="F44" s="555" t="s">
        <v>111</v>
      </c>
      <c r="G44" s="533">
        <f>H44+H45</f>
        <v>1475</v>
      </c>
      <c r="H44" s="146">
        <v>590</v>
      </c>
      <c r="I44" s="532">
        <v>107800</v>
      </c>
      <c r="J44" s="139"/>
      <c r="K44" s="145">
        <f t="shared" si="8"/>
        <v>0.27</v>
      </c>
      <c r="L44" s="550">
        <f>SUM(G44-(G44*K44))</f>
        <v>1076.75</v>
      </c>
      <c r="M44" s="146">
        <f t="shared" si="9"/>
        <v>430.7</v>
      </c>
      <c r="N44" s="358">
        <f t="shared" si="10"/>
        <v>0</v>
      </c>
      <c r="O44" s="141" t="s">
        <v>321</v>
      </c>
      <c r="P44" s="336">
        <v>7.0999999999999994E-2</v>
      </c>
      <c r="Q44" s="370">
        <v>10.5</v>
      </c>
      <c r="R44" s="37"/>
      <c r="S44" s="92"/>
      <c r="T44" s="92"/>
      <c r="U44" s="92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</row>
    <row r="45" spans="1:57" s="7" customFormat="1" ht="15" customHeight="1">
      <c r="A45" s="531"/>
      <c r="B45" s="148" t="s">
        <v>554</v>
      </c>
      <c r="C45" s="541"/>
      <c r="D45" s="541"/>
      <c r="E45" s="555"/>
      <c r="F45" s="555"/>
      <c r="G45" s="534"/>
      <c r="H45" s="146">
        <v>885</v>
      </c>
      <c r="I45" s="532"/>
      <c r="J45" s="139"/>
      <c r="K45" s="145">
        <f t="shared" si="8"/>
        <v>0.27</v>
      </c>
      <c r="L45" s="550"/>
      <c r="M45" s="146">
        <f t="shared" si="9"/>
        <v>646.04999999999995</v>
      </c>
      <c r="N45" s="358">
        <f t="shared" si="10"/>
        <v>0</v>
      </c>
      <c r="O45" s="141" t="s">
        <v>322</v>
      </c>
      <c r="P45" s="336">
        <v>0.24</v>
      </c>
      <c r="Q45" s="370">
        <v>43</v>
      </c>
      <c r="R45" s="37"/>
      <c r="S45" s="92"/>
      <c r="T45" s="92"/>
      <c r="U45" s="92"/>
      <c r="V45" s="5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</row>
    <row r="46" spans="1:57" s="7" customFormat="1" ht="15" customHeight="1">
      <c r="A46" s="530" t="s">
        <v>255</v>
      </c>
      <c r="B46" s="148" t="s">
        <v>255</v>
      </c>
      <c r="C46" s="540" t="s">
        <v>953</v>
      </c>
      <c r="D46" s="540" t="s">
        <v>954</v>
      </c>
      <c r="E46" s="555" t="s">
        <v>257</v>
      </c>
      <c r="F46" s="555" t="s">
        <v>258</v>
      </c>
      <c r="G46" s="533">
        <f>H46+H47</f>
        <v>1668</v>
      </c>
      <c r="H46" s="146">
        <v>551</v>
      </c>
      <c r="I46" s="532">
        <v>121900</v>
      </c>
      <c r="J46" s="139"/>
      <c r="K46" s="145">
        <f t="shared" si="8"/>
        <v>0.27</v>
      </c>
      <c r="L46" s="550">
        <f>SUM(G46-(G46*K46))</f>
        <v>1217.6399999999999</v>
      </c>
      <c r="M46" s="146">
        <f t="shared" si="9"/>
        <v>402.23</v>
      </c>
      <c r="N46" s="358">
        <f t="shared" si="10"/>
        <v>0</v>
      </c>
      <c r="O46" s="141" t="s">
        <v>321</v>
      </c>
      <c r="P46" s="336">
        <v>7.0999999999999994E-2</v>
      </c>
      <c r="Q46" s="370">
        <v>10.5</v>
      </c>
      <c r="R46" s="37"/>
      <c r="S46" s="92"/>
      <c r="T46" s="92"/>
      <c r="U46" s="92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</row>
    <row r="47" spans="1:57" s="7" customFormat="1" ht="15" customHeight="1">
      <c r="A47" s="531"/>
      <c r="B47" s="148" t="s">
        <v>555</v>
      </c>
      <c r="C47" s="541"/>
      <c r="D47" s="541"/>
      <c r="E47" s="555"/>
      <c r="F47" s="555"/>
      <c r="G47" s="534"/>
      <c r="H47" s="146">
        <v>1117</v>
      </c>
      <c r="I47" s="532"/>
      <c r="J47" s="139"/>
      <c r="K47" s="145">
        <f t="shared" si="8"/>
        <v>0.27</v>
      </c>
      <c r="L47" s="550"/>
      <c r="M47" s="146">
        <f t="shared" si="9"/>
        <v>815.41</v>
      </c>
      <c r="N47" s="358">
        <f t="shared" si="10"/>
        <v>0</v>
      </c>
      <c r="O47" s="141" t="s">
        <v>323</v>
      </c>
      <c r="P47" s="336">
        <v>0.24</v>
      </c>
      <c r="Q47" s="370">
        <v>44</v>
      </c>
      <c r="R47" s="37"/>
      <c r="S47" s="92"/>
      <c r="T47" s="92"/>
      <c r="U47" s="92"/>
      <c r="V47" s="5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</row>
    <row r="48" spans="1:57" ht="51" customHeight="1">
      <c r="A48" s="552" t="s">
        <v>82</v>
      </c>
      <c r="B48" s="553"/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4"/>
      <c r="R48" s="55"/>
      <c r="S48" s="92"/>
      <c r="T48" s="92"/>
      <c r="U48" s="92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</row>
    <row r="49" spans="1:57" ht="30" customHeight="1">
      <c r="A49" s="612" t="s">
        <v>80</v>
      </c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  <c r="O49" s="613"/>
      <c r="P49" s="613"/>
      <c r="Q49" s="614"/>
      <c r="R49" s="55"/>
      <c r="S49" s="92"/>
      <c r="T49" s="92"/>
      <c r="U49" s="92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</row>
    <row r="50" spans="1:57" ht="30" customHeight="1">
      <c r="A50" s="582" t="s">
        <v>81</v>
      </c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4"/>
      <c r="R50" s="55"/>
      <c r="S50" s="92"/>
      <c r="T50" s="92"/>
      <c r="U50" s="92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</row>
    <row r="51" spans="1:57" s="7" customFormat="1" ht="15" customHeight="1">
      <c r="A51" s="530" t="s">
        <v>31</v>
      </c>
      <c r="B51" s="143" t="s">
        <v>31</v>
      </c>
      <c r="C51" s="543" t="s">
        <v>955</v>
      </c>
      <c r="D51" s="543" t="s">
        <v>956</v>
      </c>
      <c r="E51" s="535" t="s">
        <v>95</v>
      </c>
      <c r="F51" s="535" t="s">
        <v>96</v>
      </c>
      <c r="G51" s="533">
        <f>H51+H52</f>
        <v>1185</v>
      </c>
      <c r="H51" s="146">
        <v>455</v>
      </c>
      <c r="I51" s="532">
        <v>86600</v>
      </c>
      <c r="J51" s="139"/>
      <c r="K51" s="145">
        <f t="shared" ref="K51:K58" si="11">$D$3</f>
        <v>0.27</v>
      </c>
      <c r="L51" s="550">
        <f>SUM(G51-(G51*K51))</f>
        <v>865.05</v>
      </c>
      <c r="M51" s="146">
        <f t="shared" ref="M51:M58" si="12">SUM(H51-(H51*K51))</f>
        <v>332.15</v>
      </c>
      <c r="N51" s="358">
        <f t="shared" ref="N51:N58" si="13">M51*J51</f>
        <v>0</v>
      </c>
      <c r="O51" s="141" t="s">
        <v>325</v>
      </c>
      <c r="P51" s="336">
        <v>8.5000000000000006E-2</v>
      </c>
      <c r="Q51" s="367">
        <v>12</v>
      </c>
      <c r="R51" s="57"/>
      <c r="S51" s="92"/>
      <c r="T51" s="92"/>
      <c r="U51" s="92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</row>
    <row r="52" spans="1:57" s="7" customFormat="1" ht="15" customHeight="1">
      <c r="A52" s="531"/>
      <c r="B52" s="143" t="s">
        <v>293</v>
      </c>
      <c r="C52" s="544"/>
      <c r="D52" s="544"/>
      <c r="E52" s="535"/>
      <c r="F52" s="535"/>
      <c r="G52" s="534"/>
      <c r="H52" s="146">
        <v>730</v>
      </c>
      <c r="I52" s="532"/>
      <c r="J52" s="139"/>
      <c r="K52" s="145">
        <f t="shared" si="11"/>
        <v>0.27</v>
      </c>
      <c r="L52" s="550"/>
      <c r="M52" s="146">
        <f t="shared" si="12"/>
        <v>532.9</v>
      </c>
      <c r="N52" s="358">
        <f t="shared" si="13"/>
        <v>0</v>
      </c>
      <c r="O52" s="141" t="s">
        <v>326</v>
      </c>
      <c r="P52" s="336">
        <v>0.19500000000000001</v>
      </c>
      <c r="Q52" s="367">
        <v>27</v>
      </c>
      <c r="R52" s="57"/>
      <c r="S52" s="92"/>
      <c r="T52" s="92"/>
      <c r="U52" s="92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</row>
    <row r="53" spans="1:57" s="7" customFormat="1" ht="15" customHeight="1">
      <c r="A53" s="530" t="s">
        <v>32</v>
      </c>
      <c r="B53" s="143" t="s">
        <v>32</v>
      </c>
      <c r="C53" s="543" t="s">
        <v>957</v>
      </c>
      <c r="D53" s="543" t="s">
        <v>958</v>
      </c>
      <c r="E53" s="535" t="s">
        <v>97</v>
      </c>
      <c r="F53" s="535" t="s">
        <v>98</v>
      </c>
      <c r="G53" s="533">
        <f>H53+H54</f>
        <v>1250</v>
      </c>
      <c r="H53" s="146">
        <v>480</v>
      </c>
      <c r="I53" s="532">
        <v>91400</v>
      </c>
      <c r="J53" s="139"/>
      <c r="K53" s="145">
        <f t="shared" si="11"/>
        <v>0.27</v>
      </c>
      <c r="L53" s="550">
        <f>SUM(G53-(G53*K53))</f>
        <v>912.5</v>
      </c>
      <c r="M53" s="146">
        <f t="shared" si="12"/>
        <v>350.4</v>
      </c>
      <c r="N53" s="358">
        <f t="shared" si="13"/>
        <v>0</v>
      </c>
      <c r="O53" s="141" t="s">
        <v>325</v>
      </c>
      <c r="P53" s="336">
        <v>8.5000000000000006E-2</v>
      </c>
      <c r="Q53" s="367">
        <v>12</v>
      </c>
      <c r="R53" s="57"/>
      <c r="S53" s="92"/>
      <c r="T53" s="92"/>
      <c r="U53" s="92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</row>
    <row r="54" spans="1:57" s="7" customFormat="1" ht="15" customHeight="1">
      <c r="A54" s="531"/>
      <c r="B54" s="143" t="s">
        <v>294</v>
      </c>
      <c r="C54" s="544"/>
      <c r="D54" s="544"/>
      <c r="E54" s="535"/>
      <c r="F54" s="535"/>
      <c r="G54" s="534"/>
      <c r="H54" s="146">
        <v>770</v>
      </c>
      <c r="I54" s="532"/>
      <c r="J54" s="139"/>
      <c r="K54" s="145">
        <f t="shared" si="11"/>
        <v>0.27</v>
      </c>
      <c r="L54" s="550"/>
      <c r="M54" s="146">
        <f t="shared" si="12"/>
        <v>562.1</v>
      </c>
      <c r="N54" s="358">
        <f t="shared" si="13"/>
        <v>0</v>
      </c>
      <c r="O54" s="141" t="s">
        <v>326</v>
      </c>
      <c r="P54" s="336">
        <v>0.24199999999999999</v>
      </c>
      <c r="Q54" s="367">
        <v>28</v>
      </c>
      <c r="R54" s="57"/>
      <c r="S54" s="92"/>
      <c r="T54" s="92"/>
      <c r="U54" s="92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</row>
    <row r="55" spans="1:57" s="7" customFormat="1" ht="15" customHeight="1">
      <c r="A55" s="530" t="s">
        <v>33</v>
      </c>
      <c r="B55" s="143" t="s">
        <v>33</v>
      </c>
      <c r="C55" s="543" t="s">
        <v>959</v>
      </c>
      <c r="D55" s="543" t="s">
        <v>960</v>
      </c>
      <c r="E55" s="535" t="s">
        <v>99</v>
      </c>
      <c r="F55" s="535" t="s">
        <v>100</v>
      </c>
      <c r="G55" s="533">
        <f>H55+H56</f>
        <v>1448</v>
      </c>
      <c r="H55" s="146">
        <v>563</v>
      </c>
      <c r="I55" s="532">
        <v>105800</v>
      </c>
      <c r="J55" s="139"/>
      <c r="K55" s="145">
        <f t="shared" si="11"/>
        <v>0.27</v>
      </c>
      <c r="L55" s="550">
        <f>SUM(G55-(G55*K55))</f>
        <v>1057.04</v>
      </c>
      <c r="M55" s="146">
        <f t="shared" si="12"/>
        <v>410.99</v>
      </c>
      <c r="N55" s="358">
        <f t="shared" si="13"/>
        <v>0</v>
      </c>
      <c r="O55" s="141" t="s">
        <v>325</v>
      </c>
      <c r="P55" s="336">
        <v>8.5000000000000006E-2</v>
      </c>
      <c r="Q55" s="367">
        <v>12</v>
      </c>
      <c r="R55" s="57"/>
      <c r="S55" s="92"/>
      <c r="T55" s="92"/>
      <c r="U55" s="92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</row>
    <row r="56" spans="1:57" s="7" customFormat="1" ht="15" customHeight="1">
      <c r="A56" s="531"/>
      <c r="B56" s="143" t="s">
        <v>34</v>
      </c>
      <c r="C56" s="544"/>
      <c r="D56" s="544"/>
      <c r="E56" s="535"/>
      <c r="F56" s="535"/>
      <c r="G56" s="534"/>
      <c r="H56" s="146">
        <v>885</v>
      </c>
      <c r="I56" s="532"/>
      <c r="J56" s="139"/>
      <c r="K56" s="145">
        <f t="shared" si="11"/>
        <v>0.27</v>
      </c>
      <c r="L56" s="550"/>
      <c r="M56" s="146">
        <f t="shared" si="12"/>
        <v>646.04999999999995</v>
      </c>
      <c r="N56" s="358">
        <f t="shared" si="13"/>
        <v>0</v>
      </c>
      <c r="O56" s="339" t="s">
        <v>322</v>
      </c>
      <c r="P56" s="336">
        <v>0.24199999999999999</v>
      </c>
      <c r="Q56" s="367">
        <v>37</v>
      </c>
      <c r="R56" s="57"/>
      <c r="S56" s="92"/>
      <c r="T56" s="92"/>
      <c r="U56" s="92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</row>
    <row r="57" spans="1:57" s="7" customFormat="1" ht="15" customHeight="1">
      <c r="A57" s="530" t="s">
        <v>35</v>
      </c>
      <c r="B57" s="143" t="s">
        <v>35</v>
      </c>
      <c r="C57" s="543" t="s">
        <v>961</v>
      </c>
      <c r="D57" s="543" t="s">
        <v>962</v>
      </c>
      <c r="E57" s="535" t="s">
        <v>101</v>
      </c>
      <c r="F57" s="535" t="s">
        <v>94</v>
      </c>
      <c r="G57" s="533">
        <f>H57+H58</f>
        <v>1658</v>
      </c>
      <c r="H57" s="146">
        <v>630</v>
      </c>
      <c r="I57" s="532">
        <v>121100</v>
      </c>
      <c r="J57" s="139"/>
      <c r="K57" s="145">
        <f t="shared" si="11"/>
        <v>0.27</v>
      </c>
      <c r="L57" s="550">
        <f>SUM(G57-(G57*K57))</f>
        <v>1210.3399999999999</v>
      </c>
      <c r="M57" s="146">
        <f t="shared" si="12"/>
        <v>459.9</v>
      </c>
      <c r="N57" s="358">
        <f t="shared" si="13"/>
        <v>0</v>
      </c>
      <c r="O57" s="141" t="s">
        <v>325</v>
      </c>
      <c r="P57" s="336">
        <v>8.5000000000000006E-2</v>
      </c>
      <c r="Q57" s="367">
        <v>12</v>
      </c>
      <c r="R57" s="57"/>
      <c r="S57" s="92"/>
      <c r="T57" s="92"/>
      <c r="U57" s="92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</row>
    <row r="58" spans="1:57" s="7" customFormat="1" ht="15" customHeight="1">
      <c r="A58" s="531"/>
      <c r="B58" s="143" t="s">
        <v>36</v>
      </c>
      <c r="C58" s="544"/>
      <c r="D58" s="544"/>
      <c r="E58" s="535"/>
      <c r="F58" s="535"/>
      <c r="G58" s="534"/>
      <c r="H58" s="146">
        <v>1028</v>
      </c>
      <c r="I58" s="532"/>
      <c r="J58" s="139"/>
      <c r="K58" s="145">
        <f t="shared" si="11"/>
        <v>0.27</v>
      </c>
      <c r="L58" s="550"/>
      <c r="M58" s="146">
        <f t="shared" si="12"/>
        <v>750.44</v>
      </c>
      <c r="N58" s="358">
        <f t="shared" si="13"/>
        <v>0</v>
      </c>
      <c r="O58" s="141" t="s">
        <v>322</v>
      </c>
      <c r="P58" s="336">
        <v>0.24199999999999999</v>
      </c>
      <c r="Q58" s="367">
        <v>38</v>
      </c>
      <c r="R58" s="57"/>
      <c r="S58" s="92"/>
      <c r="T58" s="92"/>
      <c r="U58" s="92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</row>
    <row r="59" spans="1:57" ht="51" customHeight="1">
      <c r="A59" s="552" t="s">
        <v>1075</v>
      </c>
      <c r="B59" s="553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4"/>
      <c r="R59" s="40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</row>
    <row r="60" spans="1:57" ht="30" customHeight="1">
      <c r="A60" s="371" t="s">
        <v>822</v>
      </c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624"/>
      <c r="M60" s="624"/>
      <c r="N60" s="624"/>
      <c r="O60" s="624"/>
      <c r="P60" s="624"/>
      <c r="Q60" s="625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</row>
    <row r="61" spans="1:57" ht="30" customHeight="1">
      <c r="A61" s="622" t="s">
        <v>81</v>
      </c>
      <c r="B61" s="623"/>
      <c r="C61" s="623"/>
      <c r="D61" s="623"/>
      <c r="E61" s="623"/>
      <c r="F61" s="623"/>
      <c r="G61" s="623"/>
      <c r="H61" s="623"/>
      <c r="I61" s="623"/>
      <c r="J61" s="623"/>
      <c r="K61" s="623"/>
      <c r="L61" s="626"/>
      <c r="M61" s="626"/>
      <c r="N61" s="626"/>
      <c r="O61" s="626"/>
      <c r="P61" s="626"/>
      <c r="Q61" s="627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</row>
    <row r="62" spans="1:57" s="7" customFormat="1" ht="15" customHeight="1">
      <c r="A62" s="530" t="s">
        <v>1076</v>
      </c>
      <c r="B62" s="143" t="s">
        <v>1076</v>
      </c>
      <c r="C62" s="543" t="s">
        <v>1098</v>
      </c>
      <c r="D62" s="543" t="s">
        <v>1099</v>
      </c>
      <c r="E62" s="535" t="s">
        <v>120</v>
      </c>
      <c r="F62" s="535" t="s">
        <v>1100</v>
      </c>
      <c r="G62" s="533">
        <f>H62+H63</f>
        <v>856</v>
      </c>
      <c r="H62" s="146">
        <v>285</v>
      </c>
      <c r="I62" s="532">
        <v>62600</v>
      </c>
      <c r="J62" s="139"/>
      <c r="K62" s="145">
        <f t="shared" ref="K62:K77" si="14">$D$3</f>
        <v>0.27</v>
      </c>
      <c r="L62" s="550">
        <f>SUM(G62-(G62*K62))</f>
        <v>624.88</v>
      </c>
      <c r="M62" s="146">
        <f t="shared" ref="M62:M77" si="15">SUM(H62-(H62*K62))</f>
        <v>208.05</v>
      </c>
      <c r="N62" s="358">
        <f t="shared" ref="N62:N77" si="16">M62*J62</f>
        <v>0</v>
      </c>
      <c r="O62" s="141" t="s">
        <v>1101</v>
      </c>
      <c r="P62" s="336">
        <v>6.4000000000000001E-2</v>
      </c>
      <c r="Q62" s="367">
        <v>11</v>
      </c>
      <c r="R62" s="57"/>
      <c r="S62" s="92"/>
      <c r="T62" s="92"/>
      <c r="U62" s="92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</row>
    <row r="63" spans="1:57" s="7" customFormat="1" ht="15" customHeight="1">
      <c r="A63" s="531"/>
      <c r="B63" s="143" t="s">
        <v>1078</v>
      </c>
      <c r="C63" s="544"/>
      <c r="D63" s="544"/>
      <c r="E63" s="535"/>
      <c r="F63" s="535"/>
      <c r="G63" s="534"/>
      <c r="H63" s="146">
        <v>571</v>
      </c>
      <c r="I63" s="532"/>
      <c r="J63" s="139"/>
      <c r="K63" s="145">
        <f t="shared" si="14"/>
        <v>0.27</v>
      </c>
      <c r="L63" s="550"/>
      <c r="M63" s="146">
        <f t="shared" si="15"/>
        <v>416.83</v>
      </c>
      <c r="N63" s="358">
        <f t="shared" si="16"/>
        <v>0</v>
      </c>
      <c r="O63" s="141" t="s">
        <v>885</v>
      </c>
      <c r="P63" s="336">
        <v>0.19500000000000001</v>
      </c>
      <c r="Q63" s="367">
        <v>23</v>
      </c>
      <c r="R63" s="57"/>
      <c r="S63" s="92"/>
      <c r="T63" s="92"/>
      <c r="U63" s="92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</row>
    <row r="64" spans="1:57" s="7" customFormat="1" ht="15" customHeight="1">
      <c r="A64" s="530" t="s">
        <v>1077</v>
      </c>
      <c r="B64" s="143" t="s">
        <v>1077</v>
      </c>
      <c r="C64" s="543" t="s">
        <v>1098</v>
      </c>
      <c r="D64" s="543" t="s">
        <v>1099</v>
      </c>
      <c r="E64" s="535" t="s">
        <v>120</v>
      </c>
      <c r="F64" s="535" t="s">
        <v>1100</v>
      </c>
      <c r="G64" s="533">
        <f>H64+H65</f>
        <v>862</v>
      </c>
      <c r="H64" s="146">
        <v>291</v>
      </c>
      <c r="I64" s="532">
        <v>63000</v>
      </c>
      <c r="J64" s="139"/>
      <c r="K64" s="145">
        <f t="shared" si="14"/>
        <v>0.27</v>
      </c>
      <c r="L64" s="550">
        <f>SUM(G64-(G64*K64))</f>
        <v>629.26</v>
      </c>
      <c r="M64" s="146">
        <f t="shared" si="15"/>
        <v>212.43</v>
      </c>
      <c r="N64" s="358">
        <f t="shared" si="16"/>
        <v>0</v>
      </c>
      <c r="O64" s="319" t="s">
        <v>1101</v>
      </c>
      <c r="P64" s="320">
        <v>6.4000000000000001E-2</v>
      </c>
      <c r="Q64" s="372">
        <v>11</v>
      </c>
      <c r="R64" s="57"/>
      <c r="S64" s="92"/>
      <c r="T64" s="92"/>
      <c r="U64" s="92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</row>
    <row r="65" spans="1:57" s="7" customFormat="1" ht="15" customHeight="1">
      <c r="A65" s="531"/>
      <c r="B65" s="143" t="s">
        <v>1078</v>
      </c>
      <c r="C65" s="544"/>
      <c r="D65" s="544"/>
      <c r="E65" s="535"/>
      <c r="F65" s="535"/>
      <c r="G65" s="534"/>
      <c r="H65" s="146">
        <v>571</v>
      </c>
      <c r="I65" s="532"/>
      <c r="J65" s="139"/>
      <c r="K65" s="145">
        <f t="shared" si="14"/>
        <v>0.27</v>
      </c>
      <c r="L65" s="550"/>
      <c r="M65" s="146">
        <f t="shared" si="15"/>
        <v>416.83</v>
      </c>
      <c r="N65" s="358">
        <f t="shared" si="16"/>
        <v>0</v>
      </c>
      <c r="O65" s="141" t="s">
        <v>885</v>
      </c>
      <c r="P65" s="336">
        <v>0.19500000000000001</v>
      </c>
      <c r="Q65" s="367">
        <v>23</v>
      </c>
      <c r="R65" s="57"/>
      <c r="S65" s="92"/>
      <c r="T65" s="92"/>
      <c r="U65" s="92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</row>
    <row r="66" spans="1:57" s="7" customFormat="1" ht="15" customHeight="1">
      <c r="A66" s="530" t="s">
        <v>1079</v>
      </c>
      <c r="B66" s="143" t="s">
        <v>1079</v>
      </c>
      <c r="C66" s="543" t="s">
        <v>913</v>
      </c>
      <c r="D66" s="543" t="s">
        <v>1102</v>
      </c>
      <c r="E66" s="535" t="s">
        <v>102</v>
      </c>
      <c r="F66" s="535" t="s">
        <v>1100</v>
      </c>
      <c r="G66" s="533">
        <f>H66+H67</f>
        <v>911</v>
      </c>
      <c r="H66" s="146">
        <v>312</v>
      </c>
      <c r="I66" s="532">
        <v>66600</v>
      </c>
      <c r="J66" s="139"/>
      <c r="K66" s="145">
        <f t="shared" si="14"/>
        <v>0.27</v>
      </c>
      <c r="L66" s="550">
        <f>SUM(G66-(G66*K66))</f>
        <v>665.03</v>
      </c>
      <c r="M66" s="146">
        <f t="shared" si="15"/>
        <v>227.76</v>
      </c>
      <c r="N66" s="358">
        <f t="shared" si="16"/>
        <v>0</v>
      </c>
      <c r="O66" s="319" t="s">
        <v>1101</v>
      </c>
      <c r="P66" s="320">
        <v>6.4000000000000001E-2</v>
      </c>
      <c r="Q66" s="372">
        <v>11</v>
      </c>
      <c r="R66" s="57"/>
      <c r="S66" s="92"/>
      <c r="T66" s="92"/>
      <c r="U66" s="92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</row>
    <row r="67" spans="1:57" s="7" customFormat="1" ht="15" customHeight="1">
      <c r="A67" s="531"/>
      <c r="B67" s="143" t="s">
        <v>1129</v>
      </c>
      <c r="C67" s="544"/>
      <c r="D67" s="544"/>
      <c r="E67" s="535"/>
      <c r="F67" s="535"/>
      <c r="G67" s="534"/>
      <c r="H67" s="146">
        <v>599</v>
      </c>
      <c r="I67" s="532"/>
      <c r="J67" s="139"/>
      <c r="K67" s="145">
        <f t="shared" si="14"/>
        <v>0.27</v>
      </c>
      <c r="L67" s="550"/>
      <c r="M67" s="146">
        <f t="shared" si="15"/>
        <v>437.27</v>
      </c>
      <c r="N67" s="358">
        <f t="shared" si="16"/>
        <v>0</v>
      </c>
      <c r="O67" s="141" t="s">
        <v>885</v>
      </c>
      <c r="P67" s="336">
        <v>0.19500000000000001</v>
      </c>
      <c r="Q67" s="367">
        <v>23</v>
      </c>
      <c r="R67" s="57"/>
      <c r="S67" s="92"/>
      <c r="T67" s="92"/>
      <c r="U67" s="92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</row>
    <row r="68" spans="1:57" s="7" customFormat="1" ht="15" customHeight="1">
      <c r="A68" s="530" t="s">
        <v>1081</v>
      </c>
      <c r="B68" s="143" t="s">
        <v>1081</v>
      </c>
      <c r="C68" s="543" t="s">
        <v>913</v>
      </c>
      <c r="D68" s="543" t="s">
        <v>1102</v>
      </c>
      <c r="E68" s="535" t="s">
        <v>102</v>
      </c>
      <c r="F68" s="535" t="s">
        <v>1100</v>
      </c>
      <c r="G68" s="533">
        <f>H68+H69</f>
        <v>915</v>
      </c>
      <c r="H68" s="146">
        <v>316</v>
      </c>
      <c r="I68" s="532">
        <v>66900</v>
      </c>
      <c r="J68" s="139"/>
      <c r="K68" s="145">
        <f t="shared" si="14"/>
        <v>0.27</v>
      </c>
      <c r="L68" s="550">
        <f>SUM(G68-(G68*K68))</f>
        <v>667.95</v>
      </c>
      <c r="M68" s="146">
        <f t="shared" si="15"/>
        <v>230.68</v>
      </c>
      <c r="N68" s="358">
        <f t="shared" si="16"/>
        <v>0</v>
      </c>
      <c r="O68" s="319" t="s">
        <v>1101</v>
      </c>
      <c r="P68" s="320">
        <v>6.4000000000000001E-2</v>
      </c>
      <c r="Q68" s="372">
        <v>11</v>
      </c>
      <c r="R68" s="57"/>
      <c r="S68" s="92"/>
      <c r="T68" s="92"/>
      <c r="U68" s="92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</row>
    <row r="69" spans="1:57" s="7" customFormat="1" ht="15" customHeight="1">
      <c r="A69" s="531"/>
      <c r="B69" s="143" t="s">
        <v>1080</v>
      </c>
      <c r="C69" s="544"/>
      <c r="D69" s="544"/>
      <c r="E69" s="535"/>
      <c r="F69" s="535"/>
      <c r="G69" s="534"/>
      <c r="H69" s="146">
        <v>599</v>
      </c>
      <c r="I69" s="532"/>
      <c r="J69" s="139"/>
      <c r="K69" s="145">
        <f t="shared" si="14"/>
        <v>0.27</v>
      </c>
      <c r="L69" s="550"/>
      <c r="M69" s="146">
        <f t="shared" si="15"/>
        <v>437.27</v>
      </c>
      <c r="N69" s="358">
        <f t="shared" si="16"/>
        <v>0</v>
      </c>
      <c r="O69" s="141" t="s">
        <v>885</v>
      </c>
      <c r="P69" s="336">
        <v>0.19500000000000001</v>
      </c>
      <c r="Q69" s="367">
        <v>23</v>
      </c>
      <c r="R69" s="57"/>
      <c r="S69" s="92"/>
      <c r="T69" s="92"/>
      <c r="U69" s="92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</row>
    <row r="70" spans="1:57" s="7" customFormat="1" ht="15" customHeight="1">
      <c r="A70" s="530" t="s">
        <v>1082</v>
      </c>
      <c r="B70" s="143" t="s">
        <v>1082</v>
      </c>
      <c r="C70" s="543" t="s">
        <v>1103</v>
      </c>
      <c r="D70" s="543" t="s">
        <v>1104</v>
      </c>
      <c r="E70" s="535" t="s">
        <v>582</v>
      </c>
      <c r="F70" s="535" t="s">
        <v>1105</v>
      </c>
      <c r="G70" s="533">
        <f>H70+H71</f>
        <v>1067</v>
      </c>
      <c r="H70" s="146">
        <v>373</v>
      </c>
      <c r="I70" s="532">
        <v>78000</v>
      </c>
      <c r="J70" s="139"/>
      <c r="K70" s="145">
        <f t="shared" si="14"/>
        <v>0.27</v>
      </c>
      <c r="L70" s="550">
        <f>SUM(G70-(G70*K70))</f>
        <v>778.91</v>
      </c>
      <c r="M70" s="146">
        <f t="shared" si="15"/>
        <v>272.28999999999996</v>
      </c>
      <c r="N70" s="358">
        <f t="shared" si="16"/>
        <v>0</v>
      </c>
      <c r="O70" s="319" t="s">
        <v>1101</v>
      </c>
      <c r="P70" s="320">
        <v>6.4000000000000001E-2</v>
      </c>
      <c r="Q70" s="372">
        <v>11</v>
      </c>
      <c r="R70" s="57"/>
      <c r="S70" s="92"/>
      <c r="T70" s="92"/>
      <c r="U70" s="92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</row>
    <row r="71" spans="1:57" s="7" customFormat="1" ht="15" customHeight="1">
      <c r="A71" s="531"/>
      <c r="B71" s="143" t="s">
        <v>1083</v>
      </c>
      <c r="C71" s="544"/>
      <c r="D71" s="544"/>
      <c r="E71" s="535"/>
      <c r="F71" s="535"/>
      <c r="G71" s="534"/>
      <c r="H71" s="146">
        <v>694</v>
      </c>
      <c r="I71" s="532"/>
      <c r="J71" s="139"/>
      <c r="K71" s="145">
        <f t="shared" si="14"/>
        <v>0.27</v>
      </c>
      <c r="L71" s="550"/>
      <c r="M71" s="146">
        <f t="shared" si="15"/>
        <v>506.62</v>
      </c>
      <c r="N71" s="358">
        <f t="shared" si="16"/>
        <v>0</v>
      </c>
      <c r="O71" s="141" t="s">
        <v>885</v>
      </c>
      <c r="P71" s="336">
        <v>0.19500000000000001</v>
      </c>
      <c r="Q71" s="367">
        <v>25</v>
      </c>
      <c r="R71" s="57"/>
      <c r="S71" s="92"/>
      <c r="T71" s="92"/>
      <c r="U71" s="92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</row>
    <row r="72" spans="1:57" s="7" customFormat="1" ht="15" customHeight="1">
      <c r="A72" s="530" t="s">
        <v>1084</v>
      </c>
      <c r="B72" s="143" t="s">
        <v>1084</v>
      </c>
      <c r="C72" s="543" t="s">
        <v>1103</v>
      </c>
      <c r="D72" s="543" t="s">
        <v>1104</v>
      </c>
      <c r="E72" s="535" t="s">
        <v>582</v>
      </c>
      <c r="F72" s="535" t="s">
        <v>1105</v>
      </c>
      <c r="G72" s="533">
        <f>H72+H73</f>
        <v>1074</v>
      </c>
      <c r="H72" s="146">
        <v>380</v>
      </c>
      <c r="I72" s="532">
        <v>78500</v>
      </c>
      <c r="J72" s="139"/>
      <c r="K72" s="145">
        <f t="shared" si="14"/>
        <v>0.27</v>
      </c>
      <c r="L72" s="550">
        <f>SUM(G72-(G72*K72))</f>
        <v>784.02</v>
      </c>
      <c r="M72" s="146">
        <f t="shared" si="15"/>
        <v>277.39999999999998</v>
      </c>
      <c r="N72" s="358">
        <f t="shared" si="16"/>
        <v>0</v>
      </c>
      <c r="O72" s="319" t="s">
        <v>1101</v>
      </c>
      <c r="P72" s="320">
        <v>6.4000000000000001E-2</v>
      </c>
      <c r="Q72" s="372">
        <v>11</v>
      </c>
      <c r="R72" s="57"/>
      <c r="S72" s="92"/>
      <c r="T72" s="92"/>
      <c r="U72" s="92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</row>
    <row r="73" spans="1:57" s="7" customFormat="1" ht="15" customHeight="1">
      <c r="A73" s="531"/>
      <c r="B73" s="143" t="s">
        <v>1083</v>
      </c>
      <c r="C73" s="544"/>
      <c r="D73" s="544"/>
      <c r="E73" s="535"/>
      <c r="F73" s="535"/>
      <c r="G73" s="534"/>
      <c r="H73" s="146">
        <v>694</v>
      </c>
      <c r="I73" s="532"/>
      <c r="J73" s="139"/>
      <c r="K73" s="145">
        <f t="shared" si="14"/>
        <v>0.27</v>
      </c>
      <c r="L73" s="550"/>
      <c r="M73" s="146">
        <f t="shared" si="15"/>
        <v>506.62</v>
      </c>
      <c r="N73" s="358">
        <f t="shared" si="16"/>
        <v>0</v>
      </c>
      <c r="O73" s="141" t="s">
        <v>885</v>
      </c>
      <c r="P73" s="336">
        <v>0.19500000000000001</v>
      </c>
      <c r="Q73" s="367">
        <v>25</v>
      </c>
      <c r="R73" s="57"/>
      <c r="S73" s="92"/>
      <c r="T73" s="92"/>
      <c r="U73" s="92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</row>
    <row r="74" spans="1:57" s="7" customFormat="1" ht="15" customHeight="1">
      <c r="A74" s="530" t="s">
        <v>1085</v>
      </c>
      <c r="B74" s="143" t="s">
        <v>1085</v>
      </c>
      <c r="C74" s="543" t="s">
        <v>1106</v>
      </c>
      <c r="D74" s="543" t="s">
        <v>962</v>
      </c>
      <c r="E74" s="535" t="s">
        <v>1107</v>
      </c>
      <c r="F74" s="535" t="s">
        <v>1108</v>
      </c>
      <c r="G74" s="533">
        <f>H74+H75</f>
        <v>1434</v>
      </c>
      <c r="H74" s="146">
        <v>576</v>
      </c>
      <c r="I74" s="532">
        <v>104800</v>
      </c>
      <c r="J74" s="139"/>
      <c r="K74" s="145">
        <f t="shared" si="14"/>
        <v>0.27</v>
      </c>
      <c r="L74" s="550">
        <f>SUM(G74-(G74*K74))</f>
        <v>1046.82</v>
      </c>
      <c r="M74" s="146">
        <f t="shared" si="15"/>
        <v>420.48</v>
      </c>
      <c r="N74" s="358">
        <f t="shared" si="16"/>
        <v>0</v>
      </c>
      <c r="O74" s="141" t="s">
        <v>1101</v>
      </c>
      <c r="P74" s="336">
        <v>6.4000000000000001E-2</v>
      </c>
      <c r="Q74" s="367">
        <v>11.5</v>
      </c>
      <c r="R74" s="57"/>
      <c r="S74" s="92"/>
      <c r="T74" s="92"/>
      <c r="U74" s="92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</row>
    <row r="75" spans="1:57" s="7" customFormat="1" ht="15" customHeight="1">
      <c r="A75" s="531"/>
      <c r="B75" s="143" t="s">
        <v>1086</v>
      </c>
      <c r="C75" s="544"/>
      <c r="D75" s="544"/>
      <c r="E75" s="535"/>
      <c r="F75" s="535"/>
      <c r="G75" s="534"/>
      <c r="H75" s="146">
        <v>858</v>
      </c>
      <c r="I75" s="532"/>
      <c r="J75" s="139"/>
      <c r="K75" s="145">
        <f t="shared" si="14"/>
        <v>0.27</v>
      </c>
      <c r="L75" s="550"/>
      <c r="M75" s="146">
        <f t="shared" si="15"/>
        <v>626.33999999999992</v>
      </c>
      <c r="N75" s="358">
        <f t="shared" si="16"/>
        <v>0</v>
      </c>
      <c r="O75" s="141" t="s">
        <v>885</v>
      </c>
      <c r="P75" s="336">
        <v>0.19500000000000001</v>
      </c>
      <c r="Q75" s="367">
        <v>31</v>
      </c>
      <c r="R75" s="57"/>
      <c r="S75" s="92"/>
      <c r="T75" s="92"/>
      <c r="U75" s="92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</row>
    <row r="76" spans="1:57" s="7" customFormat="1" ht="15" customHeight="1">
      <c r="A76" s="530" t="s">
        <v>1087</v>
      </c>
      <c r="B76" s="143" t="s">
        <v>1087</v>
      </c>
      <c r="C76" s="543" t="s">
        <v>1106</v>
      </c>
      <c r="D76" s="543" t="s">
        <v>962</v>
      </c>
      <c r="E76" s="535" t="s">
        <v>1107</v>
      </c>
      <c r="F76" s="535" t="s">
        <v>1108</v>
      </c>
      <c r="G76" s="533">
        <f>H76+H77</f>
        <v>1443</v>
      </c>
      <c r="H76" s="146">
        <v>585</v>
      </c>
      <c r="I76" s="532">
        <v>105500</v>
      </c>
      <c r="J76" s="139"/>
      <c r="K76" s="145">
        <f t="shared" si="14"/>
        <v>0.27</v>
      </c>
      <c r="L76" s="550">
        <f>SUM(G76-(G76*K76))</f>
        <v>1053.3899999999999</v>
      </c>
      <c r="M76" s="146">
        <f t="shared" si="15"/>
        <v>427.04999999999995</v>
      </c>
      <c r="N76" s="358">
        <f t="shared" si="16"/>
        <v>0</v>
      </c>
      <c r="O76" s="141" t="s">
        <v>1101</v>
      </c>
      <c r="P76" s="336">
        <v>6.4000000000000001E-2</v>
      </c>
      <c r="Q76" s="367">
        <v>11.5</v>
      </c>
      <c r="R76" s="57"/>
      <c r="S76" s="92"/>
      <c r="T76" s="92"/>
      <c r="U76" s="92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</row>
    <row r="77" spans="1:57" s="7" customFormat="1" ht="15" customHeight="1">
      <c r="A77" s="531"/>
      <c r="B77" s="143" t="s">
        <v>1086</v>
      </c>
      <c r="C77" s="544"/>
      <c r="D77" s="544"/>
      <c r="E77" s="535"/>
      <c r="F77" s="535"/>
      <c r="G77" s="534"/>
      <c r="H77" s="146">
        <v>858</v>
      </c>
      <c r="I77" s="532"/>
      <c r="J77" s="139"/>
      <c r="K77" s="145">
        <f t="shared" si="14"/>
        <v>0.27</v>
      </c>
      <c r="L77" s="550"/>
      <c r="M77" s="146">
        <f t="shared" si="15"/>
        <v>626.33999999999992</v>
      </c>
      <c r="N77" s="358">
        <f t="shared" si="16"/>
        <v>0</v>
      </c>
      <c r="O77" s="141" t="s">
        <v>885</v>
      </c>
      <c r="P77" s="336">
        <v>0.19500000000000001</v>
      </c>
      <c r="Q77" s="367">
        <v>31</v>
      </c>
      <c r="R77" s="57"/>
      <c r="S77" s="92"/>
      <c r="T77" s="92"/>
      <c r="U77" s="92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</row>
    <row r="78" spans="1:57" s="1" customFormat="1" ht="49.5" customHeight="1" thickBot="1">
      <c r="A78" s="609" t="s">
        <v>981</v>
      </c>
      <c r="B78" s="610"/>
      <c r="C78" s="610"/>
      <c r="D78" s="610"/>
      <c r="E78" s="610"/>
      <c r="F78" s="610"/>
      <c r="G78" s="610"/>
      <c r="H78" s="610"/>
      <c r="I78" s="610"/>
      <c r="J78" s="610"/>
      <c r="K78" s="610"/>
      <c r="L78" s="610"/>
      <c r="M78" s="610"/>
      <c r="N78" s="610"/>
      <c r="O78" s="610"/>
      <c r="P78" s="610"/>
      <c r="Q78" s="611"/>
      <c r="R78" s="92"/>
      <c r="S78" s="92"/>
      <c r="T78" s="92"/>
      <c r="U78" s="92"/>
      <c r="V78" s="40"/>
      <c r="W78" s="40"/>
      <c r="X78" s="40"/>
      <c r="Y78" s="40"/>
      <c r="Z78" s="40"/>
      <c r="AA78" s="40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</row>
    <row r="79" spans="1:57" ht="30" customHeight="1">
      <c r="A79" s="617" t="s">
        <v>822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119"/>
      <c r="O79" s="120"/>
      <c r="P79" s="120"/>
      <c r="Q79" s="368"/>
      <c r="R79" s="92"/>
      <c r="S79" s="92"/>
      <c r="T79" s="92"/>
      <c r="U79" s="92"/>
      <c r="V79" s="40"/>
      <c r="W79" s="40"/>
      <c r="X79" s="40"/>
      <c r="Y79" s="40"/>
      <c r="Z79" s="40"/>
      <c r="AA79" s="40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</row>
    <row r="80" spans="1:57" ht="30" customHeight="1">
      <c r="A80" s="537" t="s">
        <v>481</v>
      </c>
      <c r="B80" s="538"/>
      <c r="C80" s="538"/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9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</row>
    <row r="81" spans="1:57" s="1" customFormat="1" ht="15" customHeight="1">
      <c r="A81" s="530" t="s">
        <v>1110</v>
      </c>
      <c r="B81" s="135" t="s">
        <v>1110</v>
      </c>
      <c r="C81" s="568" t="s">
        <v>912</v>
      </c>
      <c r="D81" s="568" t="s">
        <v>903</v>
      </c>
      <c r="E81" s="542" t="s">
        <v>120</v>
      </c>
      <c r="F81" s="542" t="s">
        <v>1100</v>
      </c>
      <c r="G81" s="533">
        <f>H81+H82</f>
        <v>764</v>
      </c>
      <c r="H81" s="354">
        <v>244</v>
      </c>
      <c r="I81" s="532">
        <v>55900</v>
      </c>
      <c r="J81" s="139"/>
      <c r="K81" s="140">
        <f t="shared" ref="K81:K96" si="17">$D$3</f>
        <v>0.27</v>
      </c>
      <c r="L81" s="529">
        <f>SUM(G81-(G81*K81))</f>
        <v>557.72</v>
      </c>
      <c r="M81" s="354">
        <f t="shared" ref="M81:M92" si="18">SUM(H81-(H81*K81))</f>
        <v>178.12</v>
      </c>
      <c r="N81" s="358">
        <f t="shared" ref="N81:N92" si="19">J81*M81</f>
        <v>0</v>
      </c>
      <c r="O81" s="141" t="s">
        <v>889</v>
      </c>
      <c r="P81" s="142">
        <v>8.4000000000000005E-2</v>
      </c>
      <c r="Q81" s="369">
        <v>12.5</v>
      </c>
      <c r="R81" s="93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</row>
    <row r="82" spans="1:57" s="1" customFormat="1" ht="15" customHeight="1">
      <c r="A82" s="531"/>
      <c r="B82" s="135" t="s">
        <v>1111</v>
      </c>
      <c r="C82" s="544"/>
      <c r="D82" s="544"/>
      <c r="E82" s="542"/>
      <c r="F82" s="542"/>
      <c r="G82" s="534"/>
      <c r="H82" s="354">
        <v>520</v>
      </c>
      <c r="I82" s="532"/>
      <c r="J82" s="139"/>
      <c r="K82" s="140">
        <f t="shared" si="17"/>
        <v>0.27</v>
      </c>
      <c r="L82" s="529"/>
      <c r="M82" s="354">
        <f t="shared" si="18"/>
        <v>379.6</v>
      </c>
      <c r="N82" s="358">
        <f t="shared" si="19"/>
        <v>0</v>
      </c>
      <c r="O82" s="141" t="s">
        <v>885</v>
      </c>
      <c r="P82" s="142">
        <v>0.17599999999999999</v>
      </c>
      <c r="Q82" s="369">
        <v>26</v>
      </c>
      <c r="R82" s="93"/>
      <c r="S82" s="92"/>
      <c r="T82" s="92"/>
      <c r="U82" s="92"/>
      <c r="V82" s="57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</row>
    <row r="83" spans="1:57" s="1" customFormat="1" ht="15" customHeight="1">
      <c r="A83" s="530" t="s">
        <v>1112</v>
      </c>
      <c r="B83" s="135" t="s">
        <v>1112</v>
      </c>
      <c r="C83" s="568" t="s">
        <v>913</v>
      </c>
      <c r="D83" s="568" t="s">
        <v>914</v>
      </c>
      <c r="E83" s="542" t="s">
        <v>102</v>
      </c>
      <c r="F83" s="542" t="s">
        <v>1100</v>
      </c>
      <c r="G83" s="533">
        <f>H83+H84</f>
        <v>813</v>
      </c>
      <c r="H83" s="354">
        <v>264</v>
      </c>
      <c r="I83" s="532">
        <v>59400</v>
      </c>
      <c r="J83" s="139"/>
      <c r="K83" s="140">
        <f t="shared" si="17"/>
        <v>0.27</v>
      </c>
      <c r="L83" s="529">
        <f>SUM(G83-(G83*K83))</f>
        <v>593.49</v>
      </c>
      <c r="M83" s="354">
        <f t="shared" si="18"/>
        <v>192.72</v>
      </c>
      <c r="N83" s="358">
        <f t="shared" si="19"/>
        <v>0</v>
      </c>
      <c r="O83" s="141" t="s">
        <v>889</v>
      </c>
      <c r="P83" s="142">
        <v>8.4000000000000005E-2</v>
      </c>
      <c r="Q83" s="369">
        <v>12.5</v>
      </c>
      <c r="R83" s="93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</row>
    <row r="84" spans="1:57" s="1" customFormat="1" ht="15" customHeight="1">
      <c r="A84" s="531"/>
      <c r="B84" s="135" t="s">
        <v>1113</v>
      </c>
      <c r="C84" s="544"/>
      <c r="D84" s="544"/>
      <c r="E84" s="542"/>
      <c r="F84" s="542"/>
      <c r="G84" s="534"/>
      <c r="H84" s="354">
        <v>549</v>
      </c>
      <c r="I84" s="532"/>
      <c r="J84" s="139"/>
      <c r="K84" s="140">
        <f t="shared" si="17"/>
        <v>0.27</v>
      </c>
      <c r="L84" s="529"/>
      <c r="M84" s="354">
        <f t="shared" si="18"/>
        <v>400.77</v>
      </c>
      <c r="N84" s="358">
        <f t="shared" si="19"/>
        <v>0</v>
      </c>
      <c r="O84" s="141" t="s">
        <v>885</v>
      </c>
      <c r="P84" s="142">
        <v>0.17599999999999999</v>
      </c>
      <c r="Q84" s="369">
        <v>26</v>
      </c>
      <c r="R84" s="93"/>
      <c r="S84" s="92"/>
      <c r="T84" s="92"/>
      <c r="U84" s="92"/>
      <c r="V84" s="57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</row>
    <row r="85" spans="1:57" s="1" customFormat="1" ht="15" customHeight="1">
      <c r="A85" s="530" t="s">
        <v>1114</v>
      </c>
      <c r="B85" s="135" t="s">
        <v>1114</v>
      </c>
      <c r="C85" s="568" t="s">
        <v>915</v>
      </c>
      <c r="D85" s="568" t="s">
        <v>916</v>
      </c>
      <c r="E85" s="542" t="s">
        <v>582</v>
      </c>
      <c r="F85" s="542" t="s">
        <v>1105</v>
      </c>
      <c r="G85" s="533">
        <f>H85+H86</f>
        <v>955</v>
      </c>
      <c r="H85" s="354">
        <v>319</v>
      </c>
      <c r="I85" s="532">
        <v>69800</v>
      </c>
      <c r="J85" s="139"/>
      <c r="K85" s="140">
        <f t="shared" si="17"/>
        <v>0.27</v>
      </c>
      <c r="L85" s="529">
        <f>SUM(G85-(G85*K85))</f>
        <v>697.15</v>
      </c>
      <c r="M85" s="354">
        <f t="shared" si="18"/>
        <v>232.87</v>
      </c>
      <c r="N85" s="358">
        <f t="shared" si="19"/>
        <v>0</v>
      </c>
      <c r="O85" s="141" t="s">
        <v>889</v>
      </c>
      <c r="P85" s="142">
        <v>8.4000000000000005E-2</v>
      </c>
      <c r="Q85" s="369">
        <v>12.5</v>
      </c>
      <c r="R85" s="93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</row>
    <row r="86" spans="1:57" s="1" customFormat="1" ht="15" customHeight="1">
      <c r="A86" s="531"/>
      <c r="B86" s="135" t="s">
        <v>1115</v>
      </c>
      <c r="C86" s="544"/>
      <c r="D86" s="544"/>
      <c r="E86" s="542"/>
      <c r="F86" s="542"/>
      <c r="G86" s="534"/>
      <c r="H86" s="354">
        <v>636</v>
      </c>
      <c r="I86" s="532"/>
      <c r="J86" s="139"/>
      <c r="K86" s="140">
        <f t="shared" si="17"/>
        <v>0.27</v>
      </c>
      <c r="L86" s="529"/>
      <c r="M86" s="354">
        <f t="shared" si="18"/>
        <v>464.28</v>
      </c>
      <c r="N86" s="358">
        <f t="shared" si="19"/>
        <v>0</v>
      </c>
      <c r="O86" s="141" t="s">
        <v>885</v>
      </c>
      <c r="P86" s="142">
        <v>0.17599999999999999</v>
      </c>
      <c r="Q86" s="369">
        <v>29</v>
      </c>
      <c r="R86" s="93"/>
      <c r="S86" s="92"/>
      <c r="T86" s="92"/>
      <c r="U86" s="92"/>
      <c r="V86" s="57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</row>
    <row r="87" spans="1:57" ht="15" customHeight="1">
      <c r="A87" s="530" t="s">
        <v>1116</v>
      </c>
      <c r="B87" s="143" t="s">
        <v>1116</v>
      </c>
      <c r="C87" s="568" t="s">
        <v>917</v>
      </c>
      <c r="D87" s="568" t="s">
        <v>918</v>
      </c>
      <c r="E87" s="556" t="s">
        <v>1107</v>
      </c>
      <c r="F87" s="542" t="s">
        <v>1108</v>
      </c>
      <c r="G87" s="533">
        <f>H87+H88</f>
        <v>1281</v>
      </c>
      <c r="H87" s="144">
        <v>487</v>
      </c>
      <c r="I87" s="532">
        <v>93600</v>
      </c>
      <c r="J87" s="139"/>
      <c r="K87" s="145">
        <f t="shared" si="17"/>
        <v>0.27</v>
      </c>
      <c r="L87" s="529">
        <f>SUM(G87-(G87*K87))</f>
        <v>935.13</v>
      </c>
      <c r="M87" s="144">
        <f t="shared" si="18"/>
        <v>355.51</v>
      </c>
      <c r="N87" s="358">
        <f t="shared" si="19"/>
        <v>0</v>
      </c>
      <c r="O87" s="141" t="s">
        <v>889</v>
      </c>
      <c r="P87" s="142">
        <v>8.4000000000000005E-2</v>
      </c>
      <c r="Q87" s="370">
        <v>13</v>
      </c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</row>
    <row r="88" spans="1:57" ht="15" customHeight="1">
      <c r="A88" s="531"/>
      <c r="B88" s="143" t="s">
        <v>1117</v>
      </c>
      <c r="C88" s="544"/>
      <c r="D88" s="544"/>
      <c r="E88" s="556"/>
      <c r="F88" s="542"/>
      <c r="G88" s="534"/>
      <c r="H88" s="144">
        <v>794</v>
      </c>
      <c r="I88" s="532"/>
      <c r="J88" s="139"/>
      <c r="K88" s="145">
        <f t="shared" si="17"/>
        <v>0.27</v>
      </c>
      <c r="L88" s="529"/>
      <c r="M88" s="144">
        <f t="shared" si="18"/>
        <v>579.62</v>
      </c>
      <c r="N88" s="358">
        <f t="shared" si="19"/>
        <v>0</v>
      </c>
      <c r="O88" s="141" t="s">
        <v>887</v>
      </c>
      <c r="P88" s="142">
        <v>0.21199999999999999</v>
      </c>
      <c r="Q88" s="370">
        <v>35</v>
      </c>
      <c r="R88" s="92"/>
      <c r="S88" s="92"/>
      <c r="T88" s="92"/>
      <c r="U88" s="92"/>
      <c r="V88" s="57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</row>
    <row r="89" spans="1:57" s="1" customFormat="1" ht="15" customHeight="1">
      <c r="A89" s="530" t="s">
        <v>842</v>
      </c>
      <c r="B89" s="135" t="s">
        <v>842</v>
      </c>
      <c r="C89" s="568" t="s">
        <v>919</v>
      </c>
      <c r="D89" s="568" t="s">
        <v>920</v>
      </c>
      <c r="E89" s="556" t="s">
        <v>1123</v>
      </c>
      <c r="F89" s="542" t="s">
        <v>111</v>
      </c>
      <c r="G89" s="533">
        <f>H89+H90</f>
        <v>1548</v>
      </c>
      <c r="H89" s="354">
        <v>781</v>
      </c>
      <c r="I89" s="532">
        <v>113100</v>
      </c>
      <c r="J89" s="139"/>
      <c r="K89" s="140">
        <f t="shared" si="17"/>
        <v>0.27</v>
      </c>
      <c r="L89" s="529">
        <f>SUM(G89-(G89*K89))</f>
        <v>1130.04</v>
      </c>
      <c r="M89" s="354">
        <f t="shared" si="18"/>
        <v>570.13</v>
      </c>
      <c r="N89" s="358">
        <f t="shared" si="19"/>
        <v>0</v>
      </c>
      <c r="O89" s="141" t="s">
        <v>890</v>
      </c>
      <c r="P89" s="142">
        <v>0.12</v>
      </c>
      <c r="Q89" s="369">
        <v>18</v>
      </c>
      <c r="R89" s="93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</row>
    <row r="90" spans="1:57" s="1" customFormat="1" ht="15" customHeight="1">
      <c r="A90" s="531"/>
      <c r="B90" s="135" t="s">
        <v>844</v>
      </c>
      <c r="C90" s="568"/>
      <c r="D90" s="544"/>
      <c r="E90" s="556"/>
      <c r="F90" s="542"/>
      <c r="G90" s="534"/>
      <c r="H90" s="354">
        <v>767</v>
      </c>
      <c r="I90" s="532"/>
      <c r="J90" s="139"/>
      <c r="K90" s="140">
        <f t="shared" si="17"/>
        <v>0.27</v>
      </c>
      <c r="L90" s="529"/>
      <c r="M90" s="354">
        <f t="shared" si="18"/>
        <v>559.91</v>
      </c>
      <c r="N90" s="358">
        <f t="shared" si="19"/>
        <v>0</v>
      </c>
      <c r="O90" s="141" t="s">
        <v>888</v>
      </c>
      <c r="P90" s="142">
        <v>0.24399999999999999</v>
      </c>
      <c r="Q90" s="369">
        <v>40</v>
      </c>
      <c r="R90" s="93"/>
      <c r="S90" s="92"/>
      <c r="T90" s="92"/>
      <c r="U90" s="92"/>
      <c r="V90" s="57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</row>
    <row r="91" spans="1:57" ht="15" customHeight="1">
      <c r="A91" s="530" t="s">
        <v>843</v>
      </c>
      <c r="B91" s="143" t="s">
        <v>843</v>
      </c>
      <c r="C91" s="568" t="s">
        <v>921</v>
      </c>
      <c r="D91" s="568" t="s">
        <v>922</v>
      </c>
      <c r="E91" s="556" t="s">
        <v>1121</v>
      </c>
      <c r="F91" s="542" t="s">
        <v>1122</v>
      </c>
      <c r="G91" s="533">
        <f>H91+H92</f>
        <v>1862</v>
      </c>
      <c r="H91" s="144">
        <v>950</v>
      </c>
      <c r="I91" s="532">
        <v>136000</v>
      </c>
      <c r="J91" s="139"/>
      <c r="K91" s="145">
        <f t="shared" si="17"/>
        <v>0.27</v>
      </c>
      <c r="L91" s="529">
        <f>SUM(G91-(G91*K91))</f>
        <v>1359.26</v>
      </c>
      <c r="M91" s="144">
        <f t="shared" si="18"/>
        <v>693.5</v>
      </c>
      <c r="N91" s="358">
        <f t="shared" si="19"/>
        <v>0</v>
      </c>
      <c r="O91" s="141" t="s">
        <v>890</v>
      </c>
      <c r="P91" s="336">
        <v>0.12</v>
      </c>
      <c r="Q91" s="370">
        <v>18</v>
      </c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</row>
    <row r="92" spans="1:57" ht="15" customHeight="1">
      <c r="A92" s="531"/>
      <c r="B92" s="143" t="s">
        <v>845</v>
      </c>
      <c r="C92" s="568"/>
      <c r="D92" s="544"/>
      <c r="E92" s="556"/>
      <c r="F92" s="542"/>
      <c r="G92" s="534"/>
      <c r="H92" s="144">
        <v>912</v>
      </c>
      <c r="I92" s="532"/>
      <c r="J92" s="139"/>
      <c r="K92" s="145">
        <f t="shared" si="17"/>
        <v>0.27</v>
      </c>
      <c r="L92" s="529"/>
      <c r="M92" s="144">
        <f t="shared" si="18"/>
        <v>665.76</v>
      </c>
      <c r="N92" s="358">
        <f t="shared" si="19"/>
        <v>0</v>
      </c>
      <c r="O92" s="141" t="s">
        <v>891</v>
      </c>
      <c r="P92" s="336">
        <v>0.33600000000000002</v>
      </c>
      <c r="Q92" s="370">
        <v>46</v>
      </c>
      <c r="R92" s="92"/>
      <c r="S92" s="92"/>
      <c r="T92" s="92"/>
      <c r="U92" s="92"/>
      <c r="V92" s="57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</row>
    <row r="93" spans="1:57" s="7" customFormat="1" ht="15" customHeight="1">
      <c r="A93" s="530" t="s">
        <v>1096</v>
      </c>
      <c r="B93" s="143" t="s">
        <v>1096</v>
      </c>
      <c r="C93" s="568" t="s">
        <v>1120</v>
      </c>
      <c r="D93" s="568" t="s">
        <v>946</v>
      </c>
      <c r="E93" s="556" t="s">
        <v>581</v>
      </c>
      <c r="F93" s="542" t="s">
        <v>1124</v>
      </c>
      <c r="G93" s="533">
        <f>H93+H94</f>
        <v>3323</v>
      </c>
      <c r="H93" s="144">
        <v>1329</v>
      </c>
      <c r="I93" s="532">
        <v>242700</v>
      </c>
      <c r="J93" s="139"/>
      <c r="K93" s="145">
        <f t="shared" si="17"/>
        <v>0.27</v>
      </c>
      <c r="L93" s="529">
        <f>SUM(G93-(G93*K93))</f>
        <v>2425.79</v>
      </c>
      <c r="M93" s="144">
        <f t="shared" ref="M93:M96" si="20">SUM(H93-(H93*K93))</f>
        <v>970.17</v>
      </c>
      <c r="N93" s="358">
        <f t="shared" ref="N93:N96" si="21">J93*M93</f>
        <v>0</v>
      </c>
      <c r="O93" s="141" t="s">
        <v>1127</v>
      </c>
      <c r="P93" s="336">
        <v>0.23100000000000001</v>
      </c>
      <c r="Q93" s="370">
        <v>24.5</v>
      </c>
      <c r="R93" s="57"/>
      <c r="S93" s="92"/>
      <c r="T93" s="92"/>
      <c r="U93" s="92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</row>
    <row r="94" spans="1:57" s="7" customFormat="1" ht="15" customHeight="1">
      <c r="A94" s="531"/>
      <c r="B94" s="143" t="s">
        <v>1097</v>
      </c>
      <c r="C94" s="568"/>
      <c r="D94" s="544"/>
      <c r="E94" s="556"/>
      <c r="F94" s="542"/>
      <c r="G94" s="534"/>
      <c r="H94" s="144">
        <v>1994</v>
      </c>
      <c r="I94" s="532"/>
      <c r="J94" s="139"/>
      <c r="K94" s="145">
        <f t="shared" si="17"/>
        <v>0.27</v>
      </c>
      <c r="L94" s="529"/>
      <c r="M94" s="144">
        <f t="shared" si="20"/>
        <v>1455.62</v>
      </c>
      <c r="N94" s="358">
        <f t="shared" si="21"/>
        <v>0</v>
      </c>
      <c r="O94" s="141" t="s">
        <v>1128</v>
      </c>
      <c r="P94" s="336">
        <v>0.441</v>
      </c>
      <c r="Q94" s="370">
        <v>60</v>
      </c>
      <c r="R94" s="57"/>
      <c r="S94" s="92"/>
      <c r="T94" s="92"/>
      <c r="U94" s="92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</row>
    <row r="95" spans="1:57" s="7" customFormat="1" ht="15" customHeight="1">
      <c r="A95" s="530" t="s">
        <v>1118</v>
      </c>
      <c r="B95" s="143" t="s">
        <v>1118</v>
      </c>
      <c r="C95" s="568" t="s">
        <v>1125</v>
      </c>
      <c r="D95" s="568" t="s">
        <v>949</v>
      </c>
      <c r="E95" s="556" t="s">
        <v>1126</v>
      </c>
      <c r="F95" s="542" t="s">
        <v>630</v>
      </c>
      <c r="G95" s="533">
        <f>H95+H96</f>
        <v>4152</v>
      </c>
      <c r="H95" s="316">
        <v>1659</v>
      </c>
      <c r="I95" s="532">
        <v>303200</v>
      </c>
      <c r="J95" s="317"/>
      <c r="K95" s="145">
        <f t="shared" si="17"/>
        <v>0.27</v>
      </c>
      <c r="L95" s="529">
        <f>SUM(G95-(G95*K95))</f>
        <v>3030.96</v>
      </c>
      <c r="M95" s="144">
        <f t="shared" si="20"/>
        <v>1211.07</v>
      </c>
      <c r="N95" s="358">
        <f t="shared" si="21"/>
        <v>0</v>
      </c>
      <c r="O95" s="141" t="s">
        <v>1127</v>
      </c>
      <c r="P95" s="318">
        <v>0.23100000000000001</v>
      </c>
      <c r="Q95" s="373">
        <v>24.5</v>
      </c>
      <c r="R95" s="57"/>
      <c r="S95" s="92"/>
      <c r="T95" s="92"/>
      <c r="U95" s="92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</row>
    <row r="96" spans="1:57" s="7" customFormat="1" ht="15" customHeight="1">
      <c r="A96" s="531"/>
      <c r="B96" s="143" t="s">
        <v>1119</v>
      </c>
      <c r="C96" s="568"/>
      <c r="D96" s="544"/>
      <c r="E96" s="556"/>
      <c r="F96" s="542"/>
      <c r="G96" s="534"/>
      <c r="H96" s="316">
        <v>2493</v>
      </c>
      <c r="I96" s="532">
        <v>303200</v>
      </c>
      <c r="J96" s="317"/>
      <c r="K96" s="145">
        <f t="shared" si="17"/>
        <v>0.27</v>
      </c>
      <c r="L96" s="529"/>
      <c r="M96" s="144">
        <f t="shared" si="20"/>
        <v>1819.8899999999999</v>
      </c>
      <c r="N96" s="358">
        <f t="shared" si="21"/>
        <v>0</v>
      </c>
      <c r="O96" s="141" t="s">
        <v>1128</v>
      </c>
      <c r="P96" s="318">
        <v>0.441</v>
      </c>
      <c r="Q96" s="373">
        <v>60</v>
      </c>
      <c r="R96" s="57"/>
      <c r="S96" s="92"/>
      <c r="T96" s="92"/>
      <c r="U96" s="92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</row>
    <row r="97" spans="1:57" s="1" customFormat="1" ht="49.5" customHeight="1">
      <c r="A97" s="569" t="s">
        <v>983</v>
      </c>
      <c r="B97" s="566"/>
      <c r="C97" s="566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7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</row>
    <row r="98" spans="1:57" ht="30" customHeight="1">
      <c r="A98" s="612" t="s">
        <v>80</v>
      </c>
      <c r="B98" s="613"/>
      <c r="C98" s="613"/>
      <c r="D98" s="613"/>
      <c r="E98" s="613"/>
      <c r="F98" s="613"/>
      <c r="G98" s="613"/>
      <c r="H98" s="613"/>
      <c r="I98" s="613"/>
      <c r="J98" s="613"/>
      <c r="K98" s="613"/>
      <c r="L98" s="613"/>
      <c r="M98" s="613"/>
      <c r="N98" s="613"/>
      <c r="O98" s="613"/>
      <c r="P98" s="613"/>
      <c r="Q98" s="614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</row>
    <row r="99" spans="1:57" ht="30" customHeight="1">
      <c r="A99" s="537" t="s">
        <v>481</v>
      </c>
      <c r="B99" s="538"/>
      <c r="C99" s="538"/>
      <c r="D99" s="538"/>
      <c r="E99" s="538"/>
      <c r="F99" s="538"/>
      <c r="G99" s="538"/>
      <c r="H99" s="538"/>
      <c r="I99" s="538"/>
      <c r="J99" s="538"/>
      <c r="K99" s="538"/>
      <c r="L99" s="538"/>
      <c r="M99" s="538"/>
      <c r="N99" s="538"/>
      <c r="O99" s="538"/>
      <c r="P99" s="538"/>
      <c r="Q99" s="539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</row>
    <row r="100" spans="1:57" s="1" customFormat="1" ht="15" customHeight="1">
      <c r="A100" s="530" t="s">
        <v>249</v>
      </c>
      <c r="B100" s="135" t="s">
        <v>249</v>
      </c>
      <c r="C100" s="540" t="s">
        <v>935</v>
      </c>
      <c r="D100" s="540" t="s">
        <v>936</v>
      </c>
      <c r="E100" s="542" t="s">
        <v>280</v>
      </c>
      <c r="F100" s="542" t="s">
        <v>112</v>
      </c>
      <c r="G100" s="533">
        <f>(H100+H101)</f>
        <v>742</v>
      </c>
      <c r="H100" s="354">
        <v>237</v>
      </c>
      <c r="I100" s="532">
        <v>54300</v>
      </c>
      <c r="J100" s="139"/>
      <c r="K100" s="140">
        <f t="shared" ref="K100:K113" si="22">$D$3</f>
        <v>0.27</v>
      </c>
      <c r="L100" s="529">
        <f>SUM(G100-(G100*K100))</f>
        <v>541.66</v>
      </c>
      <c r="M100" s="354">
        <f t="shared" ref="M100:M113" si="23">SUM(H100-(H100*K100))</f>
        <v>173.01</v>
      </c>
      <c r="N100" s="358">
        <f t="shared" ref="N100:N107" si="24">J100*M100</f>
        <v>0</v>
      </c>
      <c r="O100" s="141" t="s">
        <v>321</v>
      </c>
      <c r="P100" s="142">
        <v>0.08</v>
      </c>
      <c r="Q100" s="369">
        <v>10.5</v>
      </c>
      <c r="R100" s="93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</row>
    <row r="101" spans="1:57" s="1" customFormat="1" ht="15" customHeight="1">
      <c r="A101" s="531"/>
      <c r="B101" s="135" t="s">
        <v>261</v>
      </c>
      <c r="C101" s="541"/>
      <c r="D101" s="541"/>
      <c r="E101" s="542"/>
      <c r="F101" s="542"/>
      <c r="G101" s="534"/>
      <c r="H101" s="354">
        <v>505</v>
      </c>
      <c r="I101" s="532"/>
      <c r="J101" s="139"/>
      <c r="K101" s="140">
        <f t="shared" si="22"/>
        <v>0.27</v>
      </c>
      <c r="L101" s="529"/>
      <c r="M101" s="354">
        <f t="shared" si="23"/>
        <v>368.65</v>
      </c>
      <c r="N101" s="358">
        <f t="shared" si="24"/>
        <v>0</v>
      </c>
      <c r="O101" s="141" t="s">
        <v>329</v>
      </c>
      <c r="P101" s="142">
        <v>0.2</v>
      </c>
      <c r="Q101" s="369">
        <v>26</v>
      </c>
      <c r="R101" s="93"/>
      <c r="S101" s="92"/>
      <c r="T101" s="92"/>
      <c r="U101" s="92"/>
      <c r="V101" s="57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</row>
    <row r="102" spans="1:57" s="1" customFormat="1" ht="15" customHeight="1">
      <c r="A102" s="530" t="s">
        <v>250</v>
      </c>
      <c r="B102" s="135" t="s">
        <v>250</v>
      </c>
      <c r="C102" s="540" t="s">
        <v>937</v>
      </c>
      <c r="D102" s="540" t="s">
        <v>938</v>
      </c>
      <c r="E102" s="542" t="s">
        <v>121</v>
      </c>
      <c r="F102" s="542" t="s">
        <v>112</v>
      </c>
      <c r="G102" s="533">
        <f>H102+H103</f>
        <v>789</v>
      </c>
      <c r="H102" s="354">
        <v>256</v>
      </c>
      <c r="I102" s="532">
        <v>57700</v>
      </c>
      <c r="J102" s="139"/>
      <c r="K102" s="140">
        <f t="shared" si="22"/>
        <v>0.27</v>
      </c>
      <c r="L102" s="529">
        <f>SUM(G102-(G102*K102))</f>
        <v>575.97</v>
      </c>
      <c r="M102" s="354">
        <f t="shared" si="23"/>
        <v>186.88</v>
      </c>
      <c r="N102" s="358">
        <f t="shared" si="24"/>
        <v>0</v>
      </c>
      <c r="O102" s="141" t="s">
        <v>321</v>
      </c>
      <c r="P102" s="142">
        <v>0.08</v>
      </c>
      <c r="Q102" s="369">
        <v>10.5</v>
      </c>
      <c r="R102" s="93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</row>
    <row r="103" spans="1:57" s="1" customFormat="1" ht="15" customHeight="1">
      <c r="A103" s="531"/>
      <c r="B103" s="135" t="s">
        <v>262</v>
      </c>
      <c r="C103" s="541"/>
      <c r="D103" s="541"/>
      <c r="E103" s="542"/>
      <c r="F103" s="542"/>
      <c r="G103" s="534"/>
      <c r="H103" s="354">
        <v>533</v>
      </c>
      <c r="I103" s="532"/>
      <c r="J103" s="139"/>
      <c r="K103" s="140">
        <f t="shared" si="22"/>
        <v>0.27</v>
      </c>
      <c r="L103" s="529"/>
      <c r="M103" s="354">
        <f t="shared" si="23"/>
        <v>389.09000000000003</v>
      </c>
      <c r="N103" s="358">
        <f t="shared" si="24"/>
        <v>0</v>
      </c>
      <c r="O103" s="141" t="s">
        <v>329</v>
      </c>
      <c r="P103" s="142">
        <v>0.2</v>
      </c>
      <c r="Q103" s="369">
        <v>26</v>
      </c>
      <c r="R103" s="93"/>
      <c r="S103" s="92"/>
      <c r="T103" s="92"/>
      <c r="U103" s="92"/>
      <c r="V103" s="57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</row>
    <row r="104" spans="1:57" s="1" customFormat="1" ht="15" customHeight="1">
      <c r="A104" s="530" t="s">
        <v>251</v>
      </c>
      <c r="B104" s="135" t="s">
        <v>251</v>
      </c>
      <c r="C104" s="540" t="s">
        <v>939</v>
      </c>
      <c r="D104" s="540" t="s">
        <v>916</v>
      </c>
      <c r="E104" s="542" t="s">
        <v>149</v>
      </c>
      <c r="F104" s="542" t="s">
        <v>281</v>
      </c>
      <c r="G104" s="533">
        <f>H104+H105</f>
        <v>927</v>
      </c>
      <c r="H104" s="354">
        <v>310</v>
      </c>
      <c r="I104" s="532">
        <v>67800</v>
      </c>
      <c r="J104" s="139"/>
      <c r="K104" s="140">
        <f t="shared" si="22"/>
        <v>0.27</v>
      </c>
      <c r="L104" s="529">
        <f>SUM(G104-(G104*K104))</f>
        <v>676.71</v>
      </c>
      <c r="M104" s="354">
        <f t="shared" si="23"/>
        <v>226.3</v>
      </c>
      <c r="N104" s="358">
        <f t="shared" si="24"/>
        <v>0</v>
      </c>
      <c r="O104" s="141" t="s">
        <v>321</v>
      </c>
      <c r="P104" s="142">
        <v>0.08</v>
      </c>
      <c r="Q104" s="369">
        <v>10.5</v>
      </c>
      <c r="R104" s="93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</row>
    <row r="105" spans="1:57" s="1" customFormat="1" ht="15" customHeight="1">
      <c r="A105" s="531"/>
      <c r="B105" s="135" t="s">
        <v>263</v>
      </c>
      <c r="C105" s="541"/>
      <c r="D105" s="541"/>
      <c r="E105" s="542"/>
      <c r="F105" s="542"/>
      <c r="G105" s="534"/>
      <c r="H105" s="354">
        <v>617</v>
      </c>
      <c r="I105" s="532"/>
      <c r="J105" s="139"/>
      <c r="K105" s="140">
        <f t="shared" si="22"/>
        <v>0.27</v>
      </c>
      <c r="L105" s="529"/>
      <c r="M105" s="354">
        <f t="shared" si="23"/>
        <v>450.40999999999997</v>
      </c>
      <c r="N105" s="358">
        <f t="shared" si="24"/>
        <v>0</v>
      </c>
      <c r="O105" s="141" t="s">
        <v>329</v>
      </c>
      <c r="P105" s="142">
        <v>0.2</v>
      </c>
      <c r="Q105" s="369">
        <v>32</v>
      </c>
      <c r="R105" s="93"/>
      <c r="S105" s="92"/>
      <c r="T105" s="92"/>
      <c r="U105" s="92"/>
      <c r="V105" s="57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</row>
    <row r="106" spans="1:57" ht="15" customHeight="1">
      <c r="A106" s="530" t="s">
        <v>252</v>
      </c>
      <c r="B106" s="143" t="s">
        <v>252</v>
      </c>
      <c r="C106" s="543" t="s">
        <v>940</v>
      </c>
      <c r="D106" s="543" t="s">
        <v>941</v>
      </c>
      <c r="E106" s="556" t="s">
        <v>137</v>
      </c>
      <c r="F106" s="556" t="s">
        <v>145</v>
      </c>
      <c r="G106" s="533">
        <f>H106+H107</f>
        <v>1244</v>
      </c>
      <c r="H106" s="144">
        <v>478</v>
      </c>
      <c r="I106" s="532">
        <v>90900</v>
      </c>
      <c r="J106" s="139"/>
      <c r="K106" s="145">
        <f t="shared" si="22"/>
        <v>0.27</v>
      </c>
      <c r="L106" s="529">
        <f>SUM(G106-(G106*K106))</f>
        <v>908.12</v>
      </c>
      <c r="M106" s="144">
        <f t="shared" si="23"/>
        <v>348.94</v>
      </c>
      <c r="N106" s="358">
        <f t="shared" si="24"/>
        <v>0</v>
      </c>
      <c r="O106" s="141" t="s">
        <v>321</v>
      </c>
      <c r="P106" s="336">
        <v>8.3000000000000004E-2</v>
      </c>
      <c r="Q106" s="370">
        <v>10.5</v>
      </c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</row>
    <row r="107" spans="1:57" ht="15" customHeight="1">
      <c r="A107" s="531"/>
      <c r="B107" s="143" t="s">
        <v>264</v>
      </c>
      <c r="C107" s="544"/>
      <c r="D107" s="544"/>
      <c r="E107" s="556"/>
      <c r="F107" s="556"/>
      <c r="G107" s="534"/>
      <c r="H107" s="144">
        <v>766</v>
      </c>
      <c r="I107" s="532"/>
      <c r="J107" s="139"/>
      <c r="K107" s="145">
        <f t="shared" si="22"/>
        <v>0.27</v>
      </c>
      <c r="L107" s="529"/>
      <c r="M107" s="144">
        <f t="shared" si="23"/>
        <v>559.17999999999995</v>
      </c>
      <c r="N107" s="358">
        <f t="shared" si="24"/>
        <v>0</v>
      </c>
      <c r="O107" s="141" t="s">
        <v>322</v>
      </c>
      <c r="P107" s="336">
        <v>0.24299999999999999</v>
      </c>
      <c r="Q107" s="370">
        <v>38</v>
      </c>
      <c r="R107" s="92"/>
      <c r="S107" s="92"/>
      <c r="T107" s="92"/>
      <c r="U107" s="92"/>
      <c r="V107" s="57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</row>
    <row r="108" spans="1:57" ht="15" customHeight="1">
      <c r="A108" s="530" t="s">
        <v>1</v>
      </c>
      <c r="B108" s="143" t="s">
        <v>1</v>
      </c>
      <c r="C108" s="543" t="s">
        <v>919</v>
      </c>
      <c r="D108" s="543" t="s">
        <v>942</v>
      </c>
      <c r="E108" s="535" t="s">
        <v>113</v>
      </c>
      <c r="F108" s="535" t="s">
        <v>114</v>
      </c>
      <c r="G108" s="533">
        <f>H108+H109</f>
        <v>1548</v>
      </c>
      <c r="H108" s="146">
        <v>781</v>
      </c>
      <c r="I108" s="532">
        <v>113100</v>
      </c>
      <c r="J108" s="139"/>
      <c r="K108" s="145">
        <f t="shared" si="22"/>
        <v>0.27</v>
      </c>
      <c r="L108" s="550">
        <f>SUM(G108-(G108*K108))</f>
        <v>1130.04</v>
      </c>
      <c r="M108" s="146">
        <f t="shared" si="23"/>
        <v>570.13</v>
      </c>
      <c r="N108" s="358">
        <f t="shared" ref="N108:N113" si="25">J108*M108</f>
        <v>0</v>
      </c>
      <c r="O108" s="147" t="s">
        <v>327</v>
      </c>
      <c r="P108" s="336">
        <v>0.154</v>
      </c>
      <c r="Q108" s="367">
        <v>18</v>
      </c>
      <c r="S108" s="92"/>
      <c r="T108" s="92"/>
      <c r="U108" s="92"/>
    </row>
    <row r="109" spans="1:57" ht="15" customHeight="1">
      <c r="A109" s="531"/>
      <c r="B109" s="143" t="s">
        <v>29</v>
      </c>
      <c r="C109" s="544"/>
      <c r="D109" s="544"/>
      <c r="E109" s="535"/>
      <c r="F109" s="535"/>
      <c r="G109" s="534"/>
      <c r="H109" s="146">
        <v>767</v>
      </c>
      <c r="I109" s="532"/>
      <c r="J109" s="139"/>
      <c r="K109" s="145">
        <f t="shared" si="22"/>
        <v>0.27</v>
      </c>
      <c r="L109" s="550"/>
      <c r="M109" s="146">
        <f t="shared" si="23"/>
        <v>559.91</v>
      </c>
      <c r="N109" s="358">
        <f t="shared" si="25"/>
        <v>0</v>
      </c>
      <c r="O109" s="339" t="s">
        <v>323</v>
      </c>
      <c r="P109" s="336">
        <v>0.26600000000000001</v>
      </c>
      <c r="Q109" s="367">
        <v>45</v>
      </c>
      <c r="R109" s="92"/>
      <c r="S109" s="92"/>
      <c r="T109" s="92"/>
      <c r="U109" s="92"/>
      <c r="V109" s="57"/>
    </row>
    <row r="110" spans="1:57" s="7" customFormat="1" ht="15" customHeight="1">
      <c r="A110" s="530" t="s">
        <v>295</v>
      </c>
      <c r="B110" s="143" t="s">
        <v>295</v>
      </c>
      <c r="C110" s="543" t="s">
        <v>943</v>
      </c>
      <c r="D110" s="543" t="s">
        <v>944</v>
      </c>
      <c r="E110" s="535" t="s">
        <v>115</v>
      </c>
      <c r="F110" s="535" t="s">
        <v>116</v>
      </c>
      <c r="G110" s="533">
        <f>H110+H111</f>
        <v>1862</v>
      </c>
      <c r="H110" s="146">
        <v>950</v>
      </c>
      <c r="I110" s="532">
        <v>136000</v>
      </c>
      <c r="J110" s="139"/>
      <c r="K110" s="145">
        <f t="shared" si="22"/>
        <v>0.27</v>
      </c>
      <c r="L110" s="550">
        <f>SUM(G110-(G110*K110))</f>
        <v>1359.26</v>
      </c>
      <c r="M110" s="146">
        <f t="shared" si="23"/>
        <v>693.5</v>
      </c>
      <c r="N110" s="358">
        <f t="shared" si="25"/>
        <v>0</v>
      </c>
      <c r="O110" s="141" t="s">
        <v>327</v>
      </c>
      <c r="P110" s="336">
        <v>0.151</v>
      </c>
      <c r="Q110" s="367">
        <v>18</v>
      </c>
      <c r="R110" s="92"/>
      <c r="S110" s="92"/>
      <c r="T110" s="92"/>
      <c r="U110" s="92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</row>
    <row r="111" spans="1:57" s="7" customFormat="1" ht="15" customHeight="1">
      <c r="A111" s="531"/>
      <c r="B111" s="143" t="s">
        <v>296</v>
      </c>
      <c r="C111" s="544"/>
      <c r="D111" s="544"/>
      <c r="E111" s="535"/>
      <c r="F111" s="535"/>
      <c r="G111" s="534"/>
      <c r="H111" s="146">
        <v>912</v>
      </c>
      <c r="I111" s="532"/>
      <c r="J111" s="139"/>
      <c r="K111" s="145">
        <f t="shared" si="22"/>
        <v>0.27</v>
      </c>
      <c r="L111" s="550"/>
      <c r="M111" s="146">
        <f t="shared" si="23"/>
        <v>665.76</v>
      </c>
      <c r="N111" s="358">
        <f t="shared" si="25"/>
        <v>0</v>
      </c>
      <c r="O111" s="339" t="s">
        <v>323</v>
      </c>
      <c r="P111" s="336">
        <v>0.25</v>
      </c>
      <c r="Q111" s="367">
        <v>48</v>
      </c>
      <c r="R111" s="92"/>
      <c r="S111" s="92"/>
      <c r="T111" s="92"/>
      <c r="U111" s="92"/>
      <c r="V111" s="5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</row>
    <row r="112" spans="1:57" s="7" customFormat="1" ht="15" customHeight="1">
      <c r="A112" s="530" t="s">
        <v>205</v>
      </c>
      <c r="B112" s="135" t="s">
        <v>205</v>
      </c>
      <c r="C112" s="540" t="s">
        <v>945</v>
      </c>
      <c r="D112" s="540" t="s">
        <v>946</v>
      </c>
      <c r="E112" s="555" t="s">
        <v>89</v>
      </c>
      <c r="F112" s="555" t="s">
        <v>116</v>
      </c>
      <c r="G112" s="533">
        <f>H112+H113</f>
        <v>2526</v>
      </c>
      <c r="H112" s="146">
        <v>1011</v>
      </c>
      <c r="I112" s="532">
        <v>184500</v>
      </c>
      <c r="J112" s="139"/>
      <c r="K112" s="145">
        <f t="shared" si="22"/>
        <v>0.27</v>
      </c>
      <c r="L112" s="550">
        <f>SUM(G112-(G112*K112))</f>
        <v>1843.98</v>
      </c>
      <c r="M112" s="146">
        <f t="shared" si="23"/>
        <v>738.03</v>
      </c>
      <c r="N112" s="358">
        <f t="shared" si="25"/>
        <v>0</v>
      </c>
      <c r="O112" s="141" t="s">
        <v>327</v>
      </c>
      <c r="P112" s="142">
        <v>0.151</v>
      </c>
      <c r="Q112" s="374">
        <v>18</v>
      </c>
      <c r="R112" s="92"/>
      <c r="S112" s="92"/>
      <c r="T112" s="92"/>
      <c r="U112" s="92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</row>
    <row r="113" spans="1:57" s="7" customFormat="1" ht="15" customHeight="1">
      <c r="A113" s="531"/>
      <c r="B113" s="135" t="s">
        <v>206</v>
      </c>
      <c r="C113" s="541"/>
      <c r="D113" s="541"/>
      <c r="E113" s="555"/>
      <c r="F113" s="555"/>
      <c r="G113" s="534"/>
      <c r="H113" s="146">
        <v>1515</v>
      </c>
      <c r="I113" s="532"/>
      <c r="J113" s="139"/>
      <c r="K113" s="145">
        <f t="shared" si="22"/>
        <v>0.27</v>
      </c>
      <c r="L113" s="550"/>
      <c r="M113" s="146">
        <f t="shared" si="23"/>
        <v>1105.95</v>
      </c>
      <c r="N113" s="358">
        <f t="shared" si="25"/>
        <v>0</v>
      </c>
      <c r="O113" s="141" t="s">
        <v>320</v>
      </c>
      <c r="P113" s="142">
        <v>0.45300000000000001</v>
      </c>
      <c r="Q113" s="374">
        <v>68</v>
      </c>
      <c r="R113" s="92"/>
      <c r="S113" s="92"/>
      <c r="T113" s="92"/>
      <c r="U113" s="92"/>
      <c r="V113" s="5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</row>
    <row r="114" spans="1:57" s="1" customFormat="1" ht="49.5" customHeight="1">
      <c r="A114" s="569" t="s">
        <v>980</v>
      </c>
      <c r="B114" s="566"/>
      <c r="C114" s="566"/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7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</row>
    <row r="115" spans="1:57" ht="30" customHeight="1">
      <c r="A115" s="612" t="s">
        <v>822</v>
      </c>
      <c r="B115" s="613"/>
      <c r="C115" s="613"/>
      <c r="D115" s="613"/>
      <c r="E115" s="613"/>
      <c r="F115" s="613"/>
      <c r="G115" s="613"/>
      <c r="H115" s="613"/>
      <c r="I115" s="613"/>
      <c r="J115" s="613"/>
      <c r="K115" s="613"/>
      <c r="L115" s="613"/>
      <c r="M115" s="613"/>
      <c r="N115" s="613"/>
      <c r="O115" s="613"/>
      <c r="P115" s="613"/>
      <c r="Q115" s="614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</row>
    <row r="116" spans="1:57" ht="30" customHeight="1">
      <c r="A116" s="537" t="s">
        <v>892</v>
      </c>
      <c r="B116" s="538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9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</row>
    <row r="117" spans="1:57" s="1" customFormat="1" ht="15" customHeight="1">
      <c r="A117" s="530" t="s">
        <v>832</v>
      </c>
      <c r="B117" s="135" t="s">
        <v>832</v>
      </c>
      <c r="C117" s="568" t="s">
        <v>902</v>
      </c>
      <c r="D117" s="568" t="s">
        <v>903</v>
      </c>
      <c r="E117" s="565" t="s">
        <v>850</v>
      </c>
      <c r="F117" s="565" t="s">
        <v>851</v>
      </c>
      <c r="G117" s="533">
        <f>H117+H118</f>
        <v>616</v>
      </c>
      <c r="H117" s="354">
        <v>247</v>
      </c>
      <c r="I117" s="532">
        <v>45100</v>
      </c>
      <c r="J117" s="139"/>
      <c r="K117" s="140">
        <f t="shared" ref="K117:K126" si="26">$D$3</f>
        <v>0.27</v>
      </c>
      <c r="L117" s="529">
        <f>SUM(G117-(G117*K117))</f>
        <v>449.67999999999995</v>
      </c>
      <c r="M117" s="354">
        <f t="shared" ref="M117:M122" si="27">SUM(H117-(H117*K117))</f>
        <v>180.31</v>
      </c>
      <c r="N117" s="358">
        <f t="shared" ref="N117:N122" si="28">J117*M117</f>
        <v>0</v>
      </c>
      <c r="O117" s="141" t="s">
        <v>884</v>
      </c>
      <c r="P117" s="142">
        <v>8.1000000000000003E-2</v>
      </c>
      <c r="Q117" s="369">
        <v>11</v>
      </c>
      <c r="R117" s="93"/>
      <c r="S117" s="92"/>
      <c r="T117" s="92"/>
      <c r="U117" s="92"/>
      <c r="V117" s="92"/>
      <c r="W117" s="40"/>
      <c r="X117" s="40"/>
      <c r="Y117" s="40"/>
      <c r="Z117" s="40"/>
      <c r="AA117" s="40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</row>
    <row r="118" spans="1:57" s="1" customFormat="1" ht="15" customHeight="1">
      <c r="A118" s="531"/>
      <c r="B118" s="135" t="s">
        <v>835</v>
      </c>
      <c r="C118" s="544"/>
      <c r="D118" s="544"/>
      <c r="E118" s="565"/>
      <c r="F118" s="565"/>
      <c r="G118" s="534"/>
      <c r="H118" s="354">
        <v>369</v>
      </c>
      <c r="I118" s="532"/>
      <c r="J118" s="139"/>
      <c r="K118" s="140">
        <f t="shared" si="26"/>
        <v>0.27</v>
      </c>
      <c r="L118" s="529"/>
      <c r="M118" s="354">
        <f t="shared" si="27"/>
        <v>269.37</v>
      </c>
      <c r="N118" s="358">
        <f t="shared" si="28"/>
        <v>0</v>
      </c>
      <c r="O118" s="141" t="s">
        <v>885</v>
      </c>
      <c r="P118" s="142">
        <v>0.17599999999999999</v>
      </c>
      <c r="Q118" s="369">
        <v>25</v>
      </c>
      <c r="R118" s="93"/>
      <c r="S118" s="92"/>
      <c r="T118" s="92"/>
      <c r="U118" s="92"/>
      <c r="V118" s="57"/>
      <c r="W118" s="40"/>
      <c r="X118" s="40"/>
      <c r="Y118" s="40"/>
      <c r="Z118" s="40"/>
      <c r="AA118" s="40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</row>
    <row r="119" spans="1:57" s="1" customFormat="1" ht="15" customHeight="1">
      <c r="A119" s="530" t="s">
        <v>833</v>
      </c>
      <c r="B119" s="135" t="s">
        <v>833</v>
      </c>
      <c r="C119" s="568" t="s">
        <v>904</v>
      </c>
      <c r="D119" s="568" t="s">
        <v>905</v>
      </c>
      <c r="E119" s="565" t="s">
        <v>852</v>
      </c>
      <c r="F119" s="565" t="s">
        <v>853</v>
      </c>
      <c r="G119" s="533">
        <f>H119+H120</f>
        <v>643</v>
      </c>
      <c r="H119" s="354">
        <v>257</v>
      </c>
      <c r="I119" s="532">
        <v>47000</v>
      </c>
      <c r="J119" s="139"/>
      <c r="K119" s="140">
        <f t="shared" si="26"/>
        <v>0.27</v>
      </c>
      <c r="L119" s="529">
        <f>SUM(G119-(G119*K119))</f>
        <v>469.39</v>
      </c>
      <c r="M119" s="354">
        <f t="shared" si="27"/>
        <v>187.61</v>
      </c>
      <c r="N119" s="358">
        <f t="shared" si="28"/>
        <v>0</v>
      </c>
      <c r="O119" s="141" t="s">
        <v>884</v>
      </c>
      <c r="P119" s="142">
        <v>8.1000000000000003E-2</v>
      </c>
      <c r="Q119" s="369">
        <v>11</v>
      </c>
      <c r="R119" s="93"/>
      <c r="S119" s="92"/>
      <c r="T119" s="92"/>
      <c r="U119" s="92"/>
      <c r="V119" s="92"/>
      <c r="W119" s="40"/>
      <c r="X119" s="40"/>
      <c r="Y119" s="40"/>
      <c r="Z119" s="40"/>
      <c r="AA119" s="40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</row>
    <row r="120" spans="1:57" s="1" customFormat="1" ht="15" customHeight="1">
      <c r="A120" s="531"/>
      <c r="B120" s="135" t="s">
        <v>836</v>
      </c>
      <c r="C120" s="544"/>
      <c r="D120" s="544"/>
      <c r="E120" s="565"/>
      <c r="F120" s="565"/>
      <c r="G120" s="534"/>
      <c r="H120" s="354">
        <v>386</v>
      </c>
      <c r="I120" s="532"/>
      <c r="J120" s="139"/>
      <c r="K120" s="140">
        <f t="shared" si="26"/>
        <v>0.27</v>
      </c>
      <c r="L120" s="529"/>
      <c r="M120" s="354">
        <f t="shared" si="27"/>
        <v>281.77999999999997</v>
      </c>
      <c r="N120" s="358">
        <f t="shared" si="28"/>
        <v>0</v>
      </c>
      <c r="O120" s="141" t="s">
        <v>885</v>
      </c>
      <c r="P120" s="142">
        <v>0.17599999999999999</v>
      </c>
      <c r="Q120" s="369">
        <v>25</v>
      </c>
      <c r="R120" s="93"/>
      <c r="S120" s="92"/>
      <c r="T120" s="92"/>
      <c r="U120" s="92"/>
      <c r="V120" s="57"/>
      <c r="W120" s="40"/>
      <c r="X120" s="40"/>
      <c r="Y120" s="40"/>
      <c r="Z120" s="40"/>
      <c r="AA120" s="40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</row>
    <row r="121" spans="1:57" s="1" customFormat="1" ht="15" customHeight="1">
      <c r="A121" s="530" t="s">
        <v>834</v>
      </c>
      <c r="B121" s="135" t="s">
        <v>834</v>
      </c>
      <c r="C121" s="568" t="s">
        <v>906</v>
      </c>
      <c r="D121" s="568" t="s">
        <v>907</v>
      </c>
      <c r="E121" s="565" t="s">
        <v>857</v>
      </c>
      <c r="F121" s="565" t="s">
        <v>854</v>
      </c>
      <c r="G121" s="533">
        <f>H121+H122</f>
        <v>721</v>
      </c>
      <c r="H121" s="354">
        <v>288</v>
      </c>
      <c r="I121" s="532">
        <v>52800</v>
      </c>
      <c r="J121" s="139"/>
      <c r="K121" s="140">
        <f t="shared" si="26"/>
        <v>0.27</v>
      </c>
      <c r="L121" s="529">
        <f>SUM(G121-(G121*K121))</f>
        <v>526.32999999999993</v>
      </c>
      <c r="M121" s="354">
        <f t="shared" si="27"/>
        <v>210.24</v>
      </c>
      <c r="N121" s="358">
        <f t="shared" si="28"/>
        <v>0</v>
      </c>
      <c r="O121" s="141" t="s">
        <v>884</v>
      </c>
      <c r="P121" s="142">
        <v>8.1000000000000003E-2</v>
      </c>
      <c r="Q121" s="369">
        <v>11</v>
      </c>
      <c r="R121" s="93"/>
      <c r="S121" s="92"/>
      <c r="T121" s="92"/>
      <c r="U121" s="92"/>
      <c r="V121" s="40"/>
      <c r="W121" s="40"/>
      <c r="X121" s="40"/>
      <c r="Y121" s="40"/>
      <c r="Z121" s="40"/>
      <c r="AA121" s="40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</row>
    <row r="122" spans="1:57" s="1" customFormat="1" ht="15" customHeight="1">
      <c r="A122" s="531"/>
      <c r="B122" s="135" t="s">
        <v>837</v>
      </c>
      <c r="C122" s="544"/>
      <c r="D122" s="544"/>
      <c r="E122" s="565"/>
      <c r="F122" s="565"/>
      <c r="G122" s="534"/>
      <c r="H122" s="354">
        <v>433</v>
      </c>
      <c r="I122" s="532"/>
      <c r="J122" s="139"/>
      <c r="K122" s="140">
        <f t="shared" si="26"/>
        <v>0.27</v>
      </c>
      <c r="L122" s="529"/>
      <c r="M122" s="354">
        <f t="shared" si="27"/>
        <v>316.08999999999997</v>
      </c>
      <c r="N122" s="358">
        <f t="shared" si="28"/>
        <v>0</v>
      </c>
      <c r="O122" s="141" t="s">
        <v>885</v>
      </c>
      <c r="P122" s="142">
        <v>0.17599999999999999</v>
      </c>
      <c r="Q122" s="369">
        <v>27</v>
      </c>
      <c r="R122" s="93"/>
      <c r="S122" s="92"/>
      <c r="T122" s="92"/>
      <c r="U122" s="92"/>
      <c r="V122" s="57"/>
      <c r="W122" s="40"/>
      <c r="X122" s="40"/>
      <c r="Y122" s="40"/>
      <c r="Z122" s="40"/>
      <c r="AA122" s="40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</row>
    <row r="123" spans="1:57" s="1" customFormat="1" ht="15" customHeight="1">
      <c r="A123" s="530" t="s">
        <v>838</v>
      </c>
      <c r="B123" s="135" t="s">
        <v>838</v>
      </c>
      <c r="C123" s="568" t="s">
        <v>908</v>
      </c>
      <c r="D123" s="568" t="s">
        <v>909</v>
      </c>
      <c r="E123" s="565" t="s">
        <v>858</v>
      </c>
      <c r="F123" s="565" t="s">
        <v>855</v>
      </c>
      <c r="G123" s="533">
        <f>H123+H124</f>
        <v>1398</v>
      </c>
      <c r="H123" s="354">
        <v>725</v>
      </c>
      <c r="I123" s="532">
        <v>102200</v>
      </c>
      <c r="J123" s="139"/>
      <c r="K123" s="140">
        <f t="shared" si="26"/>
        <v>0.27</v>
      </c>
      <c r="L123" s="529">
        <f>SUM(G123-(G123*K123))</f>
        <v>1020.54</v>
      </c>
      <c r="M123" s="354">
        <f t="shared" ref="M123:M126" si="29">SUM(H123-(H123*K123))</f>
        <v>529.25</v>
      </c>
      <c r="N123" s="358">
        <f t="shared" ref="N123:N126" si="30">J123*M123</f>
        <v>0</v>
      </c>
      <c r="O123" s="141" t="s">
        <v>886</v>
      </c>
      <c r="P123" s="142">
        <v>0.10100000000000001</v>
      </c>
      <c r="Q123" s="369">
        <v>12</v>
      </c>
      <c r="R123" s="93"/>
      <c r="S123" s="92"/>
      <c r="T123" s="92"/>
      <c r="U123" s="92"/>
      <c r="V123" s="40"/>
      <c r="W123" s="40"/>
      <c r="X123" s="40"/>
      <c r="Y123" s="40"/>
      <c r="Z123" s="40"/>
      <c r="AA123" s="40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</row>
    <row r="124" spans="1:57" s="1" customFormat="1" ht="15" customHeight="1">
      <c r="A124" s="531"/>
      <c r="B124" s="135" t="s">
        <v>839</v>
      </c>
      <c r="C124" s="544"/>
      <c r="D124" s="544"/>
      <c r="E124" s="565"/>
      <c r="F124" s="565"/>
      <c r="G124" s="534"/>
      <c r="H124" s="354">
        <v>673</v>
      </c>
      <c r="I124" s="532"/>
      <c r="J124" s="139"/>
      <c r="K124" s="140">
        <f t="shared" si="26"/>
        <v>0.27</v>
      </c>
      <c r="L124" s="529"/>
      <c r="M124" s="354">
        <f t="shared" si="29"/>
        <v>491.28999999999996</v>
      </c>
      <c r="N124" s="358">
        <f t="shared" si="30"/>
        <v>0</v>
      </c>
      <c r="O124" s="141" t="s">
        <v>887</v>
      </c>
      <c r="P124" s="142">
        <v>0.21199999999999999</v>
      </c>
      <c r="Q124" s="369">
        <v>36</v>
      </c>
      <c r="R124" s="93"/>
      <c r="S124" s="92"/>
      <c r="T124" s="92"/>
      <c r="U124" s="92"/>
      <c r="V124" s="57"/>
      <c r="W124" s="40"/>
      <c r="X124" s="40"/>
      <c r="Y124" s="40"/>
      <c r="Z124" s="40"/>
      <c r="AA124" s="40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</row>
    <row r="125" spans="1:57" s="1" customFormat="1" ht="15" customHeight="1">
      <c r="A125" s="530" t="s">
        <v>840</v>
      </c>
      <c r="B125" s="135" t="s">
        <v>840</v>
      </c>
      <c r="C125" s="568" t="s">
        <v>910</v>
      </c>
      <c r="D125" s="568" t="s">
        <v>911</v>
      </c>
      <c r="E125" s="565" t="s">
        <v>859</v>
      </c>
      <c r="F125" s="565" t="s">
        <v>856</v>
      </c>
      <c r="G125" s="533">
        <f>H125+H126</f>
        <v>1676</v>
      </c>
      <c r="H125" s="354">
        <v>855</v>
      </c>
      <c r="I125" s="532">
        <v>122500</v>
      </c>
      <c r="J125" s="139"/>
      <c r="K125" s="140">
        <f t="shared" si="26"/>
        <v>0.27</v>
      </c>
      <c r="L125" s="529">
        <f>SUM(G125-(G125*K125))</f>
        <v>1223.48</v>
      </c>
      <c r="M125" s="354">
        <f t="shared" si="29"/>
        <v>624.15</v>
      </c>
      <c r="N125" s="358">
        <f t="shared" si="30"/>
        <v>0</v>
      </c>
      <c r="O125" s="141" t="s">
        <v>886</v>
      </c>
      <c r="P125" s="142">
        <v>0.10100000000000001</v>
      </c>
      <c r="Q125" s="369">
        <v>12.5</v>
      </c>
      <c r="R125" s="93"/>
      <c r="S125" s="92"/>
      <c r="T125" s="92"/>
      <c r="U125" s="92"/>
      <c r="V125" s="40"/>
      <c r="W125" s="40"/>
      <c r="X125" s="40"/>
      <c r="Y125" s="40"/>
      <c r="Z125" s="40"/>
      <c r="AA125" s="40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</row>
    <row r="126" spans="1:57" s="1" customFormat="1" ht="15" customHeight="1">
      <c r="A126" s="531"/>
      <c r="B126" s="135" t="s">
        <v>841</v>
      </c>
      <c r="C126" s="544"/>
      <c r="D126" s="544"/>
      <c r="E126" s="565"/>
      <c r="F126" s="565"/>
      <c r="G126" s="534"/>
      <c r="H126" s="354">
        <v>821</v>
      </c>
      <c r="I126" s="532"/>
      <c r="J126" s="139"/>
      <c r="K126" s="140">
        <f t="shared" si="26"/>
        <v>0.27</v>
      </c>
      <c r="L126" s="529"/>
      <c r="M126" s="354">
        <f t="shared" si="29"/>
        <v>599.32999999999993</v>
      </c>
      <c r="N126" s="358">
        <f t="shared" si="30"/>
        <v>0</v>
      </c>
      <c r="O126" s="141" t="s">
        <v>888</v>
      </c>
      <c r="P126" s="142">
        <v>0.24399999999999999</v>
      </c>
      <c r="Q126" s="369">
        <v>42</v>
      </c>
      <c r="R126" s="93"/>
      <c r="S126" s="92"/>
      <c r="T126" s="92"/>
      <c r="U126" s="92"/>
      <c r="V126" s="57"/>
      <c r="W126" s="40"/>
      <c r="X126" s="40"/>
      <c r="Y126" s="40"/>
      <c r="Z126" s="40"/>
      <c r="AA126" s="40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</row>
    <row r="127" spans="1:57" s="1" customFormat="1" ht="42" customHeight="1">
      <c r="A127" s="552" t="s">
        <v>982</v>
      </c>
      <c r="B127" s="566"/>
      <c r="C127" s="566"/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7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</row>
    <row r="128" spans="1:57" ht="30" customHeight="1">
      <c r="A128" s="612" t="s">
        <v>80</v>
      </c>
      <c r="B128" s="613"/>
      <c r="C128" s="613"/>
      <c r="D128" s="613"/>
      <c r="E128" s="613"/>
      <c r="F128" s="613"/>
      <c r="G128" s="613"/>
      <c r="H128" s="613"/>
      <c r="I128" s="613"/>
      <c r="J128" s="613"/>
      <c r="K128" s="613"/>
      <c r="L128" s="613"/>
      <c r="M128" s="613"/>
      <c r="N128" s="613"/>
      <c r="O128" s="613"/>
      <c r="P128" s="613"/>
      <c r="Q128" s="614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</row>
    <row r="129" spans="1:57" ht="30" customHeight="1">
      <c r="A129" s="537" t="s">
        <v>105</v>
      </c>
      <c r="B129" s="538"/>
      <c r="C129" s="538"/>
      <c r="D129" s="538"/>
      <c r="E129" s="538"/>
      <c r="F129" s="538"/>
      <c r="G129" s="538"/>
      <c r="H129" s="538"/>
      <c r="I129" s="538"/>
      <c r="J129" s="538"/>
      <c r="K129" s="538"/>
      <c r="L129" s="538"/>
      <c r="M129" s="538"/>
      <c r="N129" s="538"/>
      <c r="O129" s="538"/>
      <c r="P129" s="538"/>
      <c r="Q129" s="539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</row>
    <row r="130" spans="1:57" s="7" customFormat="1" ht="15" customHeight="1">
      <c r="A130" s="530" t="s">
        <v>660</v>
      </c>
      <c r="B130" s="143" t="s">
        <v>660</v>
      </c>
      <c r="C130" s="568" t="s">
        <v>902</v>
      </c>
      <c r="D130" s="568" t="s">
        <v>931</v>
      </c>
      <c r="E130" s="565" t="s">
        <v>662</v>
      </c>
      <c r="F130" s="565" t="s">
        <v>663</v>
      </c>
      <c r="G130" s="533">
        <f>H130+H131</f>
        <v>586</v>
      </c>
      <c r="H130" s="354">
        <v>235</v>
      </c>
      <c r="I130" s="532">
        <v>41800</v>
      </c>
      <c r="J130" s="139"/>
      <c r="K130" s="140">
        <f>$D$3</f>
        <v>0.27</v>
      </c>
      <c r="L130" s="550">
        <f>SUM(G130-(G130*K130))</f>
        <v>427.78</v>
      </c>
      <c r="M130" s="354">
        <f t="shared" ref="M130:M135" si="31">SUM(H130-(H130*K130))</f>
        <v>171.55</v>
      </c>
      <c r="N130" s="358">
        <f t="shared" ref="N130:N135" si="32">M130*J130</f>
        <v>0</v>
      </c>
      <c r="O130" s="141" t="s">
        <v>330</v>
      </c>
      <c r="P130" s="336">
        <v>7.0999999999999994E-2</v>
      </c>
      <c r="Q130" s="367">
        <v>9.5</v>
      </c>
      <c r="R130" s="57"/>
      <c r="S130" s="92"/>
      <c r="T130" s="92"/>
      <c r="U130" s="92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</row>
    <row r="131" spans="1:57" s="7" customFormat="1" ht="15" customHeight="1">
      <c r="A131" s="531"/>
      <c r="B131" s="143" t="s">
        <v>699</v>
      </c>
      <c r="C131" s="544"/>
      <c r="D131" s="544"/>
      <c r="E131" s="565"/>
      <c r="F131" s="565"/>
      <c r="G131" s="534"/>
      <c r="H131" s="354">
        <v>351</v>
      </c>
      <c r="I131" s="532"/>
      <c r="J131" s="139"/>
      <c r="K131" s="140">
        <f t="shared" ref="K131:K135" si="33">$D$3</f>
        <v>0.27</v>
      </c>
      <c r="L131" s="550"/>
      <c r="M131" s="354">
        <f t="shared" si="31"/>
        <v>256.23</v>
      </c>
      <c r="N131" s="358">
        <f t="shared" si="32"/>
        <v>0</v>
      </c>
      <c r="O131" s="141" t="s">
        <v>331</v>
      </c>
      <c r="P131" s="336">
        <v>0.19500000000000001</v>
      </c>
      <c r="Q131" s="367">
        <v>27</v>
      </c>
      <c r="R131" s="57"/>
      <c r="S131" s="92"/>
      <c r="T131" s="92"/>
      <c r="U131" s="92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</row>
    <row r="132" spans="1:57" s="7" customFormat="1" ht="15" customHeight="1">
      <c r="A132" s="530" t="s">
        <v>659</v>
      </c>
      <c r="B132" s="143" t="s">
        <v>659</v>
      </c>
      <c r="C132" s="568" t="s">
        <v>904</v>
      </c>
      <c r="D132" s="568" t="s">
        <v>932</v>
      </c>
      <c r="E132" s="565" t="s">
        <v>113</v>
      </c>
      <c r="F132" s="565" t="s">
        <v>629</v>
      </c>
      <c r="G132" s="533">
        <f>H132+H133</f>
        <v>613</v>
      </c>
      <c r="H132" s="354">
        <v>245</v>
      </c>
      <c r="I132" s="532">
        <v>43700</v>
      </c>
      <c r="J132" s="139"/>
      <c r="K132" s="140">
        <f t="shared" si="33"/>
        <v>0.27</v>
      </c>
      <c r="L132" s="550">
        <f>SUM(G132-(G132*K132))</f>
        <v>447.49</v>
      </c>
      <c r="M132" s="354">
        <f t="shared" si="31"/>
        <v>178.85</v>
      </c>
      <c r="N132" s="358">
        <f t="shared" si="32"/>
        <v>0</v>
      </c>
      <c r="O132" s="141" t="s">
        <v>330</v>
      </c>
      <c r="P132" s="336">
        <v>7.0999999999999994E-2</v>
      </c>
      <c r="Q132" s="367">
        <v>9.5</v>
      </c>
      <c r="R132" s="57"/>
      <c r="S132" s="92"/>
      <c r="T132" s="92"/>
      <c r="U132" s="92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</row>
    <row r="133" spans="1:57" s="7" customFormat="1" ht="15" customHeight="1">
      <c r="A133" s="531"/>
      <c r="B133" s="143" t="s">
        <v>700</v>
      </c>
      <c r="C133" s="544"/>
      <c r="D133" s="544"/>
      <c r="E133" s="565"/>
      <c r="F133" s="565"/>
      <c r="G133" s="534"/>
      <c r="H133" s="354">
        <v>368</v>
      </c>
      <c r="I133" s="532"/>
      <c r="J133" s="139"/>
      <c r="K133" s="140">
        <f t="shared" si="33"/>
        <v>0.27</v>
      </c>
      <c r="L133" s="550"/>
      <c r="M133" s="354">
        <f t="shared" si="31"/>
        <v>268.64</v>
      </c>
      <c r="N133" s="358">
        <f t="shared" si="32"/>
        <v>0</v>
      </c>
      <c r="O133" s="141" t="s">
        <v>331</v>
      </c>
      <c r="P133" s="336">
        <v>0.19500000000000001</v>
      </c>
      <c r="Q133" s="367">
        <v>27</v>
      </c>
      <c r="R133" s="57"/>
      <c r="S133" s="92"/>
      <c r="T133" s="92"/>
      <c r="U133" s="92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</row>
    <row r="134" spans="1:57" s="7" customFormat="1" ht="15" customHeight="1">
      <c r="A134" s="530" t="s">
        <v>661</v>
      </c>
      <c r="B134" s="143" t="s">
        <v>661</v>
      </c>
      <c r="C134" s="568" t="s">
        <v>933</v>
      </c>
      <c r="D134" s="568" t="s">
        <v>934</v>
      </c>
      <c r="E134" s="565" t="s">
        <v>664</v>
      </c>
      <c r="F134" s="565" t="s">
        <v>665</v>
      </c>
      <c r="G134" s="533">
        <f>H134+H135</f>
        <v>686</v>
      </c>
      <c r="H134" s="354">
        <v>274</v>
      </c>
      <c r="I134" s="532">
        <v>48900</v>
      </c>
      <c r="J134" s="139"/>
      <c r="K134" s="140">
        <f t="shared" si="33"/>
        <v>0.27</v>
      </c>
      <c r="L134" s="550">
        <f>SUM(G134-(G134*K134))</f>
        <v>500.78</v>
      </c>
      <c r="M134" s="354">
        <f t="shared" si="31"/>
        <v>200.01999999999998</v>
      </c>
      <c r="N134" s="358">
        <f t="shared" si="32"/>
        <v>0</v>
      </c>
      <c r="O134" s="141" t="s">
        <v>330</v>
      </c>
      <c r="P134" s="336">
        <v>7.0999999999999994E-2</v>
      </c>
      <c r="Q134" s="367">
        <v>9.5</v>
      </c>
      <c r="R134" s="57"/>
      <c r="S134" s="92"/>
      <c r="T134" s="92"/>
      <c r="U134" s="92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</row>
    <row r="135" spans="1:57" s="7" customFormat="1" ht="15" customHeight="1">
      <c r="A135" s="531"/>
      <c r="B135" s="143" t="s">
        <v>701</v>
      </c>
      <c r="C135" s="544"/>
      <c r="D135" s="544"/>
      <c r="E135" s="565"/>
      <c r="F135" s="565"/>
      <c r="G135" s="534"/>
      <c r="H135" s="354">
        <v>412</v>
      </c>
      <c r="I135" s="532"/>
      <c r="J135" s="139"/>
      <c r="K135" s="140">
        <f t="shared" si="33"/>
        <v>0.27</v>
      </c>
      <c r="L135" s="550"/>
      <c r="M135" s="354">
        <f t="shared" si="31"/>
        <v>300.76</v>
      </c>
      <c r="N135" s="358">
        <f t="shared" si="32"/>
        <v>0</v>
      </c>
      <c r="O135" s="141" t="s">
        <v>331</v>
      </c>
      <c r="P135" s="336">
        <v>0.19500000000000001</v>
      </c>
      <c r="Q135" s="367">
        <v>28</v>
      </c>
      <c r="R135" s="57"/>
      <c r="S135" s="92"/>
      <c r="T135" s="92"/>
      <c r="U135" s="92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</row>
    <row r="136" spans="1:57" s="1" customFormat="1" ht="49.5" customHeight="1">
      <c r="A136" s="552" t="s">
        <v>577</v>
      </c>
      <c r="B136" s="566"/>
      <c r="C136" s="566"/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7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</row>
    <row r="137" spans="1:57" ht="30" customHeight="1">
      <c r="A137" s="612" t="s">
        <v>80</v>
      </c>
      <c r="B137" s="613"/>
      <c r="C137" s="613"/>
      <c r="D137" s="613"/>
      <c r="E137" s="613"/>
      <c r="F137" s="613"/>
      <c r="G137" s="613"/>
      <c r="H137" s="613"/>
      <c r="I137" s="613"/>
      <c r="J137" s="613"/>
      <c r="K137" s="613"/>
      <c r="L137" s="613"/>
      <c r="M137" s="613"/>
      <c r="N137" s="613"/>
      <c r="O137" s="613"/>
      <c r="P137" s="613"/>
      <c r="Q137" s="614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</row>
    <row r="138" spans="1:57" ht="30" customHeight="1">
      <c r="A138" s="537" t="s">
        <v>947</v>
      </c>
      <c r="B138" s="538"/>
      <c r="C138" s="538"/>
      <c r="D138" s="538"/>
      <c r="E138" s="538"/>
      <c r="F138" s="538"/>
      <c r="G138" s="538"/>
      <c r="H138" s="538"/>
      <c r="I138" s="538"/>
      <c r="J138" s="538"/>
      <c r="K138" s="538"/>
      <c r="L138" s="538"/>
      <c r="M138" s="538"/>
      <c r="N138" s="538"/>
      <c r="O138" s="538"/>
      <c r="P138" s="538"/>
      <c r="Q138" s="539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</row>
    <row r="139" spans="1:57" s="7" customFormat="1" ht="15" customHeight="1">
      <c r="A139" s="530" t="s">
        <v>578</v>
      </c>
      <c r="B139" s="135" t="s">
        <v>578</v>
      </c>
      <c r="C139" s="540" t="s">
        <v>945</v>
      </c>
      <c r="D139" s="540" t="s">
        <v>946</v>
      </c>
      <c r="E139" s="555" t="s">
        <v>581</v>
      </c>
      <c r="F139" s="555" t="s">
        <v>582</v>
      </c>
      <c r="G139" s="533">
        <f>H139+H140</f>
        <v>3787</v>
      </c>
      <c r="H139" s="146">
        <v>1515</v>
      </c>
      <c r="I139" s="532">
        <v>256100</v>
      </c>
      <c r="J139" s="139"/>
      <c r="K139" s="145">
        <f>$H$3</f>
        <v>0.35</v>
      </c>
      <c r="L139" s="550">
        <f>SUM(G139-(G139*K139))</f>
        <v>2461.5500000000002</v>
      </c>
      <c r="M139" s="146">
        <f>SUM(H139-(H139*K139))</f>
        <v>984.75</v>
      </c>
      <c r="N139" s="358">
        <f>J139*M139</f>
        <v>0</v>
      </c>
      <c r="O139" s="141" t="s">
        <v>635</v>
      </c>
      <c r="P139" s="142">
        <v>0.23</v>
      </c>
      <c r="Q139" s="374">
        <v>18</v>
      </c>
      <c r="R139" s="92"/>
      <c r="S139" s="92"/>
      <c r="T139" s="92"/>
      <c r="U139" s="92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</row>
    <row r="140" spans="1:57" s="7" customFormat="1" ht="15" customHeight="1">
      <c r="A140" s="531"/>
      <c r="B140" s="135" t="s">
        <v>579</v>
      </c>
      <c r="C140" s="541"/>
      <c r="D140" s="541"/>
      <c r="E140" s="555"/>
      <c r="F140" s="555"/>
      <c r="G140" s="534"/>
      <c r="H140" s="146">
        <v>2272</v>
      </c>
      <c r="I140" s="532"/>
      <c r="J140" s="139"/>
      <c r="K140" s="145">
        <f t="shared" ref="K140:K142" si="34">$H$3</f>
        <v>0.35</v>
      </c>
      <c r="L140" s="550"/>
      <c r="M140" s="146">
        <f>SUM(H140-(H140*K140))</f>
        <v>1476.8000000000002</v>
      </c>
      <c r="N140" s="358">
        <f>J140*M140</f>
        <v>0</v>
      </c>
      <c r="O140" s="141" t="s">
        <v>320</v>
      </c>
      <c r="P140" s="142">
        <v>0.45300000000000001</v>
      </c>
      <c r="Q140" s="374">
        <v>61</v>
      </c>
      <c r="R140" s="92"/>
      <c r="S140" s="92"/>
      <c r="T140" s="92"/>
      <c r="U140" s="92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</row>
    <row r="141" spans="1:57" s="7" customFormat="1" ht="15" customHeight="1">
      <c r="A141" s="530" t="s">
        <v>580</v>
      </c>
      <c r="B141" s="135" t="s">
        <v>580</v>
      </c>
      <c r="C141" s="540" t="s">
        <v>948</v>
      </c>
      <c r="D141" s="540" t="s">
        <v>949</v>
      </c>
      <c r="E141" s="555" t="s">
        <v>583</v>
      </c>
      <c r="F141" s="555" t="s">
        <v>136</v>
      </c>
      <c r="G141" s="533">
        <f>H141+H142</f>
        <v>4731</v>
      </c>
      <c r="H141" s="146">
        <v>1891</v>
      </c>
      <c r="I141" s="532">
        <v>319900</v>
      </c>
      <c r="J141" s="139"/>
      <c r="K141" s="145">
        <f t="shared" si="34"/>
        <v>0.35</v>
      </c>
      <c r="L141" s="550">
        <f>SUM(G141-(G141*K141))</f>
        <v>3075.15</v>
      </c>
      <c r="M141" s="146">
        <f>SUM(H141-(H141*K141))</f>
        <v>1229.1500000000001</v>
      </c>
      <c r="N141" s="358">
        <f>J141*M141</f>
        <v>0</v>
      </c>
      <c r="O141" s="141" t="s">
        <v>635</v>
      </c>
      <c r="P141" s="142">
        <v>0.23</v>
      </c>
      <c r="Q141" s="374">
        <v>18</v>
      </c>
      <c r="R141" s="92"/>
      <c r="S141" s="92"/>
      <c r="T141" s="92"/>
      <c r="U141" s="92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</row>
    <row r="142" spans="1:57" s="7" customFormat="1" ht="15" customHeight="1">
      <c r="A142" s="531"/>
      <c r="B142" s="135" t="s">
        <v>584</v>
      </c>
      <c r="C142" s="541"/>
      <c r="D142" s="541"/>
      <c r="E142" s="555"/>
      <c r="F142" s="555"/>
      <c r="G142" s="534"/>
      <c r="H142" s="146">
        <v>2840</v>
      </c>
      <c r="I142" s="532"/>
      <c r="J142" s="139"/>
      <c r="K142" s="145">
        <f t="shared" si="34"/>
        <v>0.35</v>
      </c>
      <c r="L142" s="550"/>
      <c r="M142" s="146">
        <f>SUM(H142-(H142*K142))</f>
        <v>1846</v>
      </c>
      <c r="N142" s="358">
        <f>J142*M142</f>
        <v>0</v>
      </c>
      <c r="O142" s="141" t="s">
        <v>320</v>
      </c>
      <c r="P142" s="142">
        <v>0.45300000000000001</v>
      </c>
      <c r="Q142" s="374">
        <v>61</v>
      </c>
      <c r="R142" s="92"/>
      <c r="S142" s="92"/>
      <c r="T142" s="92"/>
      <c r="U142" s="92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</row>
    <row r="143" spans="1:57" ht="44.25" customHeight="1">
      <c r="A143" s="552" t="s">
        <v>108</v>
      </c>
      <c r="B143" s="553"/>
      <c r="C143" s="553"/>
      <c r="D143" s="553"/>
      <c r="E143" s="553"/>
      <c r="F143" s="553"/>
      <c r="G143" s="553"/>
      <c r="H143" s="553"/>
      <c r="I143" s="553"/>
      <c r="J143" s="553"/>
      <c r="K143" s="553"/>
      <c r="L143" s="553"/>
      <c r="M143" s="553"/>
      <c r="N143" s="553"/>
      <c r="O143" s="553"/>
      <c r="P143" s="553"/>
      <c r="Q143" s="554"/>
      <c r="S143" s="92"/>
      <c r="T143" s="92"/>
      <c r="U143" s="92"/>
    </row>
    <row r="144" spans="1:57" ht="30.75" customHeight="1">
      <c r="A144" s="612" t="s">
        <v>107</v>
      </c>
      <c r="B144" s="613"/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614"/>
      <c r="S144" s="92"/>
      <c r="T144" s="92"/>
      <c r="U144" s="92"/>
    </row>
    <row r="145" spans="1:22" ht="30" customHeight="1">
      <c r="A145" s="537" t="s">
        <v>84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8"/>
      <c r="L145" s="538"/>
      <c r="M145" s="538"/>
      <c r="N145" s="538"/>
      <c r="O145" s="538"/>
      <c r="P145" s="538"/>
      <c r="Q145" s="539"/>
      <c r="S145" s="92"/>
      <c r="T145" s="92"/>
      <c r="U145" s="92"/>
    </row>
    <row r="146" spans="1:22" ht="15" customHeight="1">
      <c r="A146" s="530" t="s">
        <v>70</v>
      </c>
      <c r="B146" s="143" t="s">
        <v>70</v>
      </c>
      <c r="C146" s="543" t="s">
        <v>969</v>
      </c>
      <c r="D146" s="535" t="s">
        <v>970</v>
      </c>
      <c r="E146" s="535" t="s">
        <v>119</v>
      </c>
      <c r="F146" s="535" t="s">
        <v>120</v>
      </c>
      <c r="G146" s="533">
        <f>H146+H147</f>
        <v>2321</v>
      </c>
      <c r="H146" s="146">
        <v>1021</v>
      </c>
      <c r="I146" s="532">
        <v>157000</v>
      </c>
      <c r="J146" s="139"/>
      <c r="K146" s="145">
        <f t="shared" ref="K146:K151" si="35">$D$3</f>
        <v>0.27</v>
      </c>
      <c r="L146" s="550">
        <f>SUM(G146-(G146*K146))</f>
        <v>1694.33</v>
      </c>
      <c r="M146" s="146">
        <f t="shared" ref="M146:M151" si="36">SUM(H146-(H146*K146))</f>
        <v>745.32999999999993</v>
      </c>
      <c r="N146" s="358">
        <f t="shared" ref="N146:N151" si="37">J146*M146</f>
        <v>0</v>
      </c>
      <c r="O146" s="141" t="s">
        <v>333</v>
      </c>
      <c r="P146" s="336">
        <v>0.17799999999999999</v>
      </c>
      <c r="Q146" s="367">
        <v>17</v>
      </c>
      <c r="S146" s="92"/>
      <c r="T146" s="92"/>
      <c r="U146" s="92"/>
    </row>
    <row r="147" spans="1:22" ht="15" customHeight="1">
      <c r="A147" s="531"/>
      <c r="B147" s="143" t="s">
        <v>71</v>
      </c>
      <c r="C147" s="544"/>
      <c r="D147" s="536"/>
      <c r="E147" s="535"/>
      <c r="F147" s="535"/>
      <c r="G147" s="534"/>
      <c r="H147" s="146">
        <v>1300</v>
      </c>
      <c r="I147" s="532"/>
      <c r="J147" s="139"/>
      <c r="K147" s="145">
        <f t="shared" si="35"/>
        <v>0.27</v>
      </c>
      <c r="L147" s="550"/>
      <c r="M147" s="146">
        <f t="shared" si="36"/>
        <v>949</v>
      </c>
      <c r="N147" s="358">
        <f t="shared" si="37"/>
        <v>0</v>
      </c>
      <c r="O147" s="141" t="s">
        <v>323</v>
      </c>
      <c r="P147" s="336">
        <v>0.26600000000000001</v>
      </c>
      <c r="Q147" s="367">
        <v>43</v>
      </c>
      <c r="S147" s="92"/>
      <c r="T147" s="92"/>
      <c r="U147" s="92"/>
      <c r="V147" s="57"/>
    </row>
    <row r="148" spans="1:22" ht="15" customHeight="1">
      <c r="A148" s="530" t="s">
        <v>72</v>
      </c>
      <c r="B148" s="143" t="s">
        <v>72</v>
      </c>
      <c r="C148" s="535" t="s">
        <v>971</v>
      </c>
      <c r="D148" s="535" t="s">
        <v>972</v>
      </c>
      <c r="E148" s="535" t="s">
        <v>121</v>
      </c>
      <c r="F148" s="535" t="s">
        <v>118</v>
      </c>
      <c r="G148" s="533">
        <f>H148+H149</f>
        <v>2529</v>
      </c>
      <c r="H148" s="146">
        <v>1113</v>
      </c>
      <c r="I148" s="532">
        <v>171100</v>
      </c>
      <c r="J148" s="139"/>
      <c r="K148" s="145">
        <f t="shared" si="35"/>
        <v>0.27</v>
      </c>
      <c r="L148" s="550">
        <f>SUM(G148-(G148*K148))</f>
        <v>1846.17</v>
      </c>
      <c r="M148" s="146">
        <f t="shared" si="36"/>
        <v>812.49</v>
      </c>
      <c r="N148" s="358">
        <f t="shared" si="37"/>
        <v>0</v>
      </c>
      <c r="O148" s="141" t="s">
        <v>333</v>
      </c>
      <c r="P148" s="336">
        <v>0.17799999999999999</v>
      </c>
      <c r="Q148" s="367">
        <v>17</v>
      </c>
      <c r="S148" s="92"/>
      <c r="T148" s="92"/>
      <c r="U148" s="92"/>
    </row>
    <row r="149" spans="1:22" ht="15" customHeight="1">
      <c r="A149" s="531"/>
      <c r="B149" s="143" t="s">
        <v>73</v>
      </c>
      <c r="C149" s="536"/>
      <c r="D149" s="536"/>
      <c r="E149" s="535"/>
      <c r="F149" s="535"/>
      <c r="G149" s="534"/>
      <c r="H149" s="146">
        <v>1416</v>
      </c>
      <c r="I149" s="532"/>
      <c r="J149" s="139"/>
      <c r="K149" s="145">
        <f t="shared" si="35"/>
        <v>0.27</v>
      </c>
      <c r="L149" s="550"/>
      <c r="M149" s="146">
        <f t="shared" si="36"/>
        <v>1033.6799999999998</v>
      </c>
      <c r="N149" s="358">
        <f t="shared" si="37"/>
        <v>0</v>
      </c>
      <c r="O149" s="141" t="s">
        <v>323</v>
      </c>
      <c r="P149" s="336">
        <v>0.26600000000000001</v>
      </c>
      <c r="Q149" s="367">
        <v>43</v>
      </c>
      <c r="S149" s="92"/>
      <c r="T149" s="92"/>
      <c r="U149" s="92"/>
      <c r="V149" s="57"/>
    </row>
    <row r="150" spans="1:22" ht="15" customHeight="1">
      <c r="A150" s="530" t="s">
        <v>74</v>
      </c>
      <c r="B150" s="143" t="s">
        <v>74</v>
      </c>
      <c r="C150" s="535" t="s">
        <v>973</v>
      </c>
      <c r="D150" s="535" t="s">
        <v>974</v>
      </c>
      <c r="E150" s="535" t="s">
        <v>114</v>
      </c>
      <c r="F150" s="535" t="s">
        <v>116</v>
      </c>
      <c r="G150" s="533">
        <f>H150+H151</f>
        <v>2742</v>
      </c>
      <c r="H150" s="146">
        <v>1207</v>
      </c>
      <c r="I150" s="532">
        <v>185400</v>
      </c>
      <c r="J150" s="139"/>
      <c r="K150" s="145">
        <f t="shared" si="35"/>
        <v>0.27</v>
      </c>
      <c r="L150" s="550">
        <f>SUM(G150-(G150*K150))</f>
        <v>2001.6599999999999</v>
      </c>
      <c r="M150" s="146">
        <f t="shared" si="36"/>
        <v>881.1099999999999</v>
      </c>
      <c r="N150" s="358">
        <f t="shared" si="37"/>
        <v>0</v>
      </c>
      <c r="O150" s="141" t="s">
        <v>333</v>
      </c>
      <c r="P150" s="336">
        <v>0.17799999999999999</v>
      </c>
      <c r="Q150" s="367">
        <v>17</v>
      </c>
      <c r="S150" s="92"/>
      <c r="T150" s="92"/>
      <c r="U150" s="92"/>
    </row>
    <row r="151" spans="1:22" ht="15" customHeight="1">
      <c r="A151" s="531"/>
      <c r="B151" s="143" t="s">
        <v>75</v>
      </c>
      <c r="C151" s="536"/>
      <c r="D151" s="536"/>
      <c r="E151" s="535"/>
      <c r="F151" s="535"/>
      <c r="G151" s="534"/>
      <c r="H151" s="146">
        <v>1535</v>
      </c>
      <c r="I151" s="532"/>
      <c r="J151" s="139"/>
      <c r="K151" s="145">
        <f t="shared" si="35"/>
        <v>0.27</v>
      </c>
      <c r="L151" s="550"/>
      <c r="M151" s="146">
        <f t="shared" si="36"/>
        <v>1120.55</v>
      </c>
      <c r="N151" s="358">
        <f t="shared" si="37"/>
        <v>0</v>
      </c>
      <c r="O151" s="141" t="s">
        <v>323</v>
      </c>
      <c r="P151" s="336">
        <v>0.26600000000000001</v>
      </c>
      <c r="Q151" s="367">
        <v>43</v>
      </c>
      <c r="S151" s="92"/>
      <c r="T151" s="92"/>
      <c r="U151" s="92"/>
      <c r="V151" s="57"/>
    </row>
    <row r="152" spans="1:22" ht="41.25" customHeight="1">
      <c r="A152" s="552" t="s">
        <v>106</v>
      </c>
      <c r="B152" s="553"/>
      <c r="C152" s="553"/>
      <c r="D152" s="553"/>
      <c r="E152" s="553"/>
      <c r="F152" s="553"/>
      <c r="G152" s="553"/>
      <c r="H152" s="553"/>
      <c r="I152" s="553"/>
      <c r="J152" s="553"/>
      <c r="K152" s="553"/>
      <c r="L152" s="553"/>
      <c r="M152" s="553"/>
      <c r="N152" s="553"/>
      <c r="O152" s="553"/>
      <c r="P152" s="553"/>
      <c r="Q152" s="554"/>
      <c r="S152" s="92"/>
      <c r="T152" s="92"/>
      <c r="U152" s="92"/>
    </row>
    <row r="153" spans="1:22" ht="30" customHeight="1">
      <c r="A153" s="612" t="s">
        <v>107</v>
      </c>
      <c r="B153" s="613"/>
      <c r="C153" s="613"/>
      <c r="D153" s="613"/>
      <c r="E153" s="613"/>
      <c r="F153" s="613"/>
      <c r="G153" s="613"/>
      <c r="H153" s="613"/>
      <c r="I153" s="613"/>
      <c r="J153" s="613"/>
      <c r="K153" s="613"/>
      <c r="L153" s="613"/>
      <c r="M153" s="613"/>
      <c r="N153" s="613"/>
      <c r="O153" s="613"/>
      <c r="P153" s="613"/>
      <c r="Q153" s="614"/>
      <c r="S153" s="92"/>
      <c r="T153" s="92"/>
      <c r="U153" s="92"/>
    </row>
    <row r="154" spans="1:22" ht="30" customHeight="1">
      <c r="A154" s="537" t="s">
        <v>104</v>
      </c>
      <c r="B154" s="538"/>
      <c r="C154" s="538"/>
      <c r="D154" s="538"/>
      <c r="E154" s="538"/>
      <c r="F154" s="538"/>
      <c r="G154" s="538"/>
      <c r="H154" s="538"/>
      <c r="I154" s="538"/>
      <c r="J154" s="538"/>
      <c r="K154" s="538"/>
      <c r="L154" s="538"/>
      <c r="M154" s="538"/>
      <c r="N154" s="538"/>
      <c r="O154" s="538"/>
      <c r="P154" s="538"/>
      <c r="Q154" s="539"/>
      <c r="S154" s="92"/>
      <c r="T154" s="92"/>
      <c r="U154" s="92"/>
    </row>
    <row r="155" spans="1:22" ht="15" customHeight="1">
      <c r="A155" s="530" t="s">
        <v>245</v>
      </c>
      <c r="B155" s="135" t="s">
        <v>245</v>
      </c>
      <c r="C155" s="535" t="s">
        <v>975</v>
      </c>
      <c r="D155" s="535" t="s">
        <v>970</v>
      </c>
      <c r="E155" s="535" t="s">
        <v>119</v>
      </c>
      <c r="F155" s="535" t="s">
        <v>120</v>
      </c>
      <c r="G155" s="533">
        <f>H155+H156</f>
        <v>2024</v>
      </c>
      <c r="H155" s="146">
        <v>1012</v>
      </c>
      <c r="I155" s="532">
        <v>137000</v>
      </c>
      <c r="J155" s="139"/>
      <c r="K155" s="145">
        <f t="shared" ref="K155:K160" si="38">$D$3</f>
        <v>0.27</v>
      </c>
      <c r="L155" s="550">
        <f>SUM(G155-(G155*K155))</f>
        <v>1477.52</v>
      </c>
      <c r="M155" s="146">
        <f t="shared" ref="M155:M160" si="39">SUM(H155-(H155*K155))</f>
        <v>738.76</v>
      </c>
      <c r="N155" s="358">
        <f t="shared" ref="N155:N160" si="40">J155*M155</f>
        <v>0</v>
      </c>
      <c r="O155" s="141" t="s">
        <v>333</v>
      </c>
      <c r="P155" s="336">
        <v>0.16800000000000001</v>
      </c>
      <c r="Q155" s="367">
        <v>17</v>
      </c>
      <c r="S155" s="92"/>
      <c r="T155" s="92"/>
      <c r="U155" s="92"/>
    </row>
    <row r="156" spans="1:22" ht="15" customHeight="1">
      <c r="A156" s="531"/>
      <c r="B156" s="135" t="s">
        <v>246</v>
      </c>
      <c r="C156" s="536"/>
      <c r="D156" s="536"/>
      <c r="E156" s="535"/>
      <c r="F156" s="535"/>
      <c r="G156" s="534"/>
      <c r="H156" s="146">
        <v>1012</v>
      </c>
      <c r="I156" s="532"/>
      <c r="J156" s="139"/>
      <c r="K156" s="145">
        <f t="shared" si="38"/>
        <v>0.27</v>
      </c>
      <c r="L156" s="550"/>
      <c r="M156" s="146">
        <f t="shared" si="39"/>
        <v>738.76</v>
      </c>
      <c r="N156" s="358">
        <f t="shared" si="40"/>
        <v>0</v>
      </c>
      <c r="O156" s="141" t="s">
        <v>322</v>
      </c>
      <c r="P156" s="336">
        <v>0.23799999999999999</v>
      </c>
      <c r="Q156" s="367">
        <v>40</v>
      </c>
      <c r="S156" s="92"/>
      <c r="T156" s="92"/>
      <c r="U156" s="92"/>
      <c r="V156" s="57"/>
    </row>
    <row r="157" spans="1:22" ht="15" customHeight="1">
      <c r="A157" s="530" t="s">
        <v>247</v>
      </c>
      <c r="B157" s="135" t="s">
        <v>247</v>
      </c>
      <c r="C157" s="535" t="s">
        <v>976</v>
      </c>
      <c r="D157" s="535" t="s">
        <v>977</v>
      </c>
      <c r="E157" s="535" t="s">
        <v>122</v>
      </c>
      <c r="F157" s="535" t="s">
        <v>118</v>
      </c>
      <c r="G157" s="533">
        <f>H157+H158</f>
        <v>2230</v>
      </c>
      <c r="H157" s="146">
        <v>1115</v>
      </c>
      <c r="I157" s="532">
        <v>150800</v>
      </c>
      <c r="J157" s="139"/>
      <c r="K157" s="145">
        <f t="shared" si="38"/>
        <v>0.27</v>
      </c>
      <c r="L157" s="550">
        <f>SUM(G157-(G157*K157))</f>
        <v>1627.9</v>
      </c>
      <c r="M157" s="146">
        <f t="shared" si="39"/>
        <v>813.95</v>
      </c>
      <c r="N157" s="358">
        <f t="shared" si="40"/>
        <v>0</v>
      </c>
      <c r="O157" s="141" t="s">
        <v>333</v>
      </c>
      <c r="P157" s="336">
        <v>0.17</v>
      </c>
      <c r="Q157" s="367">
        <v>17</v>
      </c>
      <c r="S157" s="92"/>
      <c r="T157" s="92"/>
      <c r="U157" s="92"/>
    </row>
    <row r="158" spans="1:22" ht="15" customHeight="1">
      <c r="A158" s="531"/>
      <c r="B158" s="135" t="s">
        <v>248</v>
      </c>
      <c r="C158" s="536"/>
      <c r="D158" s="536"/>
      <c r="E158" s="535"/>
      <c r="F158" s="535"/>
      <c r="G158" s="534"/>
      <c r="H158" s="146">
        <v>1115</v>
      </c>
      <c r="I158" s="532"/>
      <c r="J158" s="139"/>
      <c r="K158" s="145">
        <f t="shared" si="38"/>
        <v>0.27</v>
      </c>
      <c r="L158" s="550"/>
      <c r="M158" s="146">
        <f t="shared" si="39"/>
        <v>813.95</v>
      </c>
      <c r="N158" s="358">
        <f t="shared" si="40"/>
        <v>0</v>
      </c>
      <c r="O158" s="141" t="s">
        <v>322</v>
      </c>
      <c r="P158" s="336">
        <v>0.23799999999999999</v>
      </c>
      <c r="Q158" s="367">
        <v>40</v>
      </c>
      <c r="S158" s="92"/>
      <c r="T158" s="92"/>
      <c r="U158" s="92"/>
      <c r="V158" s="57"/>
    </row>
    <row r="159" spans="1:22" ht="15" customHeight="1">
      <c r="A159" s="530" t="s">
        <v>282</v>
      </c>
      <c r="B159" s="135" t="s">
        <v>282</v>
      </c>
      <c r="C159" s="535" t="s">
        <v>978</v>
      </c>
      <c r="D159" s="535" t="s">
        <v>979</v>
      </c>
      <c r="E159" s="535" t="s">
        <v>114</v>
      </c>
      <c r="F159" s="535" t="s">
        <v>116</v>
      </c>
      <c r="G159" s="533">
        <f>H159+H160</f>
        <v>2442</v>
      </c>
      <c r="H159" s="146">
        <v>1221</v>
      </c>
      <c r="I159" s="532">
        <v>165200</v>
      </c>
      <c r="J159" s="139"/>
      <c r="K159" s="145">
        <f t="shared" si="38"/>
        <v>0.27</v>
      </c>
      <c r="L159" s="550">
        <f>SUM(G159-(G159*K159))</f>
        <v>1782.6599999999999</v>
      </c>
      <c r="M159" s="146">
        <f t="shared" si="39"/>
        <v>891.32999999999993</v>
      </c>
      <c r="N159" s="358">
        <f t="shared" si="40"/>
        <v>0</v>
      </c>
      <c r="O159" s="141" t="s">
        <v>333</v>
      </c>
      <c r="P159" s="336">
        <v>0.17</v>
      </c>
      <c r="Q159" s="367">
        <v>17</v>
      </c>
      <c r="S159" s="92"/>
      <c r="T159" s="92"/>
      <c r="U159" s="92"/>
    </row>
    <row r="160" spans="1:22" ht="15" customHeight="1">
      <c r="A160" s="530"/>
      <c r="B160" s="135" t="s">
        <v>332</v>
      </c>
      <c r="C160" s="535"/>
      <c r="D160" s="535"/>
      <c r="E160" s="535"/>
      <c r="F160" s="535"/>
      <c r="G160" s="533"/>
      <c r="H160" s="146">
        <v>1221</v>
      </c>
      <c r="I160" s="532"/>
      <c r="J160" s="139"/>
      <c r="K160" s="145">
        <f t="shared" si="38"/>
        <v>0.27</v>
      </c>
      <c r="L160" s="550"/>
      <c r="M160" s="146">
        <f t="shared" si="39"/>
        <v>891.32999999999993</v>
      </c>
      <c r="N160" s="358">
        <f t="shared" si="40"/>
        <v>0</v>
      </c>
      <c r="O160" s="339" t="s">
        <v>319</v>
      </c>
      <c r="P160" s="336">
        <v>0.23799999999999999</v>
      </c>
      <c r="Q160" s="367">
        <v>40</v>
      </c>
      <c r="S160" s="92"/>
      <c r="T160" s="92"/>
      <c r="U160" s="92"/>
      <c r="V160" s="57"/>
    </row>
    <row r="161" spans="1:57" ht="35.25" customHeight="1">
      <c r="A161" s="375" t="s">
        <v>0</v>
      </c>
      <c r="B161" s="151"/>
      <c r="C161" s="152"/>
      <c r="D161" s="152"/>
      <c r="E161" s="153"/>
      <c r="F161" s="153"/>
      <c r="G161" s="351"/>
      <c r="H161" s="351"/>
      <c r="I161" s="351"/>
      <c r="J161" s="154"/>
      <c r="K161" s="155"/>
      <c r="L161" s="351"/>
      <c r="M161" s="351"/>
      <c r="N161" s="156"/>
      <c r="O161" s="157"/>
      <c r="P161" s="158"/>
      <c r="Q161" s="376"/>
      <c r="S161" s="92"/>
      <c r="T161" s="92"/>
    </row>
    <row r="162" spans="1:57" ht="30" customHeight="1">
      <c r="A162" s="615" t="s">
        <v>51</v>
      </c>
      <c r="B162" s="616"/>
      <c r="C162" s="616"/>
      <c r="D162" s="616"/>
      <c r="E162" s="616"/>
      <c r="F162" s="616"/>
      <c r="G162" s="616"/>
      <c r="H162" s="616"/>
      <c r="I162" s="616"/>
      <c r="J162" s="616"/>
      <c r="K162" s="616"/>
      <c r="L162" s="616"/>
      <c r="M162" s="616"/>
      <c r="N162" s="137"/>
      <c r="O162" s="138"/>
      <c r="P162" s="138"/>
      <c r="Q162" s="377"/>
      <c r="S162" s="92"/>
      <c r="T162" s="92"/>
    </row>
    <row r="163" spans="1:57" ht="69.75" customHeight="1">
      <c r="A163" s="378"/>
      <c r="B163" s="585" t="s">
        <v>365</v>
      </c>
      <c r="C163" s="586"/>
      <c r="D163" s="587"/>
      <c r="E163" s="551" t="s">
        <v>364</v>
      </c>
      <c r="F163" s="551"/>
      <c r="G163" s="551"/>
      <c r="H163" s="345" t="s">
        <v>812</v>
      </c>
      <c r="I163" s="324" t="s">
        <v>740</v>
      </c>
      <c r="J163" s="341" t="s">
        <v>28</v>
      </c>
      <c r="K163" s="341" t="s">
        <v>22</v>
      </c>
      <c r="L163" s="173" t="s">
        <v>490</v>
      </c>
      <c r="M163" s="159"/>
      <c r="N163" s="173" t="s">
        <v>27</v>
      </c>
      <c r="O163" s="551" t="s">
        <v>23</v>
      </c>
      <c r="P163" s="551"/>
      <c r="Q163" s="379" t="s">
        <v>24</v>
      </c>
      <c r="R163" s="40"/>
      <c r="S163" s="92"/>
      <c r="T163" s="92"/>
    </row>
    <row r="164" spans="1:57" s="5" customFormat="1" ht="40.25" customHeight="1">
      <c r="A164" s="380" t="s">
        <v>1130</v>
      </c>
      <c r="B164" s="547" t="s">
        <v>482</v>
      </c>
      <c r="C164" s="547"/>
      <c r="D164" s="547"/>
      <c r="E164" s="547" t="s">
        <v>774</v>
      </c>
      <c r="F164" s="547"/>
      <c r="G164" s="547"/>
      <c r="H164" s="354">
        <v>221</v>
      </c>
      <c r="I164" s="323">
        <v>14400</v>
      </c>
      <c r="J164" s="160"/>
      <c r="K164" s="145">
        <f>$H$3</f>
        <v>0.35</v>
      </c>
      <c r="L164" s="340">
        <f t="shared" ref="L164:L184" si="41">SUM(H164-(H164*K164))</f>
        <v>143.65</v>
      </c>
      <c r="M164" s="156"/>
      <c r="N164" s="331">
        <f t="shared" ref="N164:N184" si="42">J164*L164</f>
        <v>0</v>
      </c>
      <c r="O164" s="546">
        <v>4.0000000000000001E-3</v>
      </c>
      <c r="P164" s="546"/>
      <c r="Q164" s="381">
        <v>2</v>
      </c>
      <c r="R164" s="38"/>
      <c r="S164" s="92"/>
      <c r="T164" s="92"/>
      <c r="U164" s="92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</row>
    <row r="165" spans="1:57" s="5" customFormat="1" ht="40.25" customHeight="1">
      <c r="A165" s="380" t="s">
        <v>1131</v>
      </c>
      <c r="B165" s="547" t="s">
        <v>482</v>
      </c>
      <c r="C165" s="547"/>
      <c r="D165" s="547"/>
      <c r="E165" s="547" t="s">
        <v>774</v>
      </c>
      <c r="F165" s="547"/>
      <c r="G165" s="547"/>
      <c r="H165" s="354">
        <v>169</v>
      </c>
      <c r="I165" s="323">
        <v>11000</v>
      </c>
      <c r="J165" s="160"/>
      <c r="K165" s="145">
        <f t="shared" ref="K165:K184" si="43">$H$3</f>
        <v>0.35</v>
      </c>
      <c r="L165" s="340">
        <f t="shared" si="41"/>
        <v>109.85</v>
      </c>
      <c r="M165" s="156"/>
      <c r="N165" s="331">
        <f t="shared" si="42"/>
        <v>0</v>
      </c>
      <c r="O165" s="546">
        <v>3.0000000000000001E-3</v>
      </c>
      <c r="P165" s="546"/>
      <c r="Q165" s="381">
        <v>0.9</v>
      </c>
      <c r="R165" s="38"/>
      <c r="S165" s="92"/>
      <c r="T165" s="92"/>
      <c r="U165" s="92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</row>
    <row r="166" spans="1:57" s="5" customFormat="1" ht="40.25" customHeight="1">
      <c r="A166" s="380" t="s">
        <v>1132</v>
      </c>
      <c r="B166" s="547" t="s">
        <v>685</v>
      </c>
      <c r="C166" s="547"/>
      <c r="D166" s="547"/>
      <c r="E166" s="547" t="s">
        <v>775</v>
      </c>
      <c r="F166" s="547"/>
      <c r="G166" s="547"/>
      <c r="H166" s="354">
        <v>128</v>
      </c>
      <c r="I166" s="323">
        <v>8400</v>
      </c>
      <c r="J166" s="160"/>
      <c r="K166" s="145">
        <f t="shared" si="43"/>
        <v>0.35</v>
      </c>
      <c r="L166" s="340">
        <f t="shared" si="41"/>
        <v>83.2</v>
      </c>
      <c r="M166" s="156"/>
      <c r="N166" s="331">
        <f t="shared" si="42"/>
        <v>0</v>
      </c>
      <c r="O166" s="546">
        <v>1.6E-2</v>
      </c>
      <c r="P166" s="546"/>
      <c r="Q166" s="381">
        <v>1.5</v>
      </c>
      <c r="R166" s="38"/>
      <c r="S166" s="92"/>
      <c r="T166" s="92"/>
      <c r="U166" s="92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</row>
    <row r="167" spans="1:57" s="5" customFormat="1" ht="40.25" customHeight="1">
      <c r="A167" s="380" t="s">
        <v>1133</v>
      </c>
      <c r="B167" s="547" t="s">
        <v>686</v>
      </c>
      <c r="C167" s="547"/>
      <c r="D167" s="547"/>
      <c r="E167" s="547" t="s">
        <v>774</v>
      </c>
      <c r="F167" s="547"/>
      <c r="G167" s="547"/>
      <c r="H167" s="354">
        <v>156</v>
      </c>
      <c r="I167" s="323">
        <v>10200</v>
      </c>
      <c r="J167" s="160"/>
      <c r="K167" s="145">
        <f t="shared" si="43"/>
        <v>0.35</v>
      </c>
      <c r="L167" s="340">
        <f t="shared" si="41"/>
        <v>101.4</v>
      </c>
      <c r="M167" s="156"/>
      <c r="N167" s="331">
        <f t="shared" si="42"/>
        <v>0</v>
      </c>
      <c r="O167" s="546">
        <v>1.6E-2</v>
      </c>
      <c r="P167" s="546"/>
      <c r="Q167" s="381">
        <v>1.5</v>
      </c>
      <c r="R167" s="38"/>
      <c r="S167" s="92"/>
      <c r="T167" s="92"/>
      <c r="U167" s="92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</row>
    <row r="168" spans="1:57" s="5" customFormat="1" ht="40.25" customHeight="1">
      <c r="A168" s="380" t="s">
        <v>1134</v>
      </c>
      <c r="B168" s="547" t="s">
        <v>687</v>
      </c>
      <c r="C168" s="547"/>
      <c r="D168" s="547"/>
      <c r="E168" s="547" t="s">
        <v>776</v>
      </c>
      <c r="F168" s="547"/>
      <c r="G168" s="547"/>
      <c r="H168" s="354">
        <v>123</v>
      </c>
      <c r="I168" s="323">
        <v>8000</v>
      </c>
      <c r="J168" s="160"/>
      <c r="K168" s="145">
        <f t="shared" si="43"/>
        <v>0.35</v>
      </c>
      <c r="L168" s="340">
        <f t="shared" si="41"/>
        <v>79.95</v>
      </c>
      <c r="M168" s="156"/>
      <c r="N168" s="331">
        <f t="shared" si="42"/>
        <v>0</v>
      </c>
      <c r="O168" s="546">
        <v>1.6E-2</v>
      </c>
      <c r="P168" s="546"/>
      <c r="Q168" s="381">
        <v>1.5</v>
      </c>
      <c r="R168" s="38"/>
      <c r="S168" s="92"/>
      <c r="T168" s="92"/>
      <c r="U168" s="92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</row>
    <row r="169" spans="1:57" s="5" customFormat="1" ht="59.25" customHeight="1">
      <c r="A169" s="380" t="s">
        <v>1135</v>
      </c>
      <c r="B169" s="547" t="s">
        <v>688</v>
      </c>
      <c r="C169" s="547"/>
      <c r="D169" s="547"/>
      <c r="E169" s="547" t="s">
        <v>792</v>
      </c>
      <c r="F169" s="547"/>
      <c r="G169" s="547"/>
      <c r="H169" s="354">
        <v>221</v>
      </c>
      <c r="I169" s="323">
        <v>14400</v>
      </c>
      <c r="J169" s="160"/>
      <c r="K169" s="145">
        <f t="shared" si="43"/>
        <v>0.35</v>
      </c>
      <c r="L169" s="340">
        <f t="shared" si="41"/>
        <v>143.65</v>
      </c>
      <c r="M169" s="156"/>
      <c r="N169" s="331">
        <f t="shared" si="42"/>
        <v>0</v>
      </c>
      <c r="O169" s="546">
        <v>0.02</v>
      </c>
      <c r="P169" s="546"/>
      <c r="Q169" s="381">
        <v>1.1000000000000001</v>
      </c>
      <c r="R169" s="38"/>
      <c r="S169" s="92"/>
      <c r="T169" s="92"/>
      <c r="U169" s="92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</row>
    <row r="170" spans="1:57" s="5" customFormat="1" ht="59.25" customHeight="1">
      <c r="A170" s="380" t="s">
        <v>1136</v>
      </c>
      <c r="B170" s="547" t="s">
        <v>688</v>
      </c>
      <c r="C170" s="547"/>
      <c r="D170" s="547"/>
      <c r="E170" s="547" t="s">
        <v>792</v>
      </c>
      <c r="F170" s="547"/>
      <c r="G170" s="547"/>
      <c r="H170" s="354">
        <v>333</v>
      </c>
      <c r="I170" s="323">
        <v>21700</v>
      </c>
      <c r="J170" s="160"/>
      <c r="K170" s="145">
        <f t="shared" si="43"/>
        <v>0.35</v>
      </c>
      <c r="L170" s="340">
        <f t="shared" si="41"/>
        <v>216.45</v>
      </c>
      <c r="M170" s="156"/>
      <c r="N170" s="331">
        <f t="shared" si="42"/>
        <v>0</v>
      </c>
      <c r="O170" s="546">
        <v>0.02</v>
      </c>
      <c r="P170" s="546"/>
      <c r="Q170" s="381">
        <v>1.1000000000000001</v>
      </c>
      <c r="R170" s="38"/>
      <c r="S170" s="92"/>
      <c r="T170" s="92"/>
      <c r="U170" s="92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</row>
    <row r="171" spans="1:57" s="5" customFormat="1" ht="40.25" customHeight="1">
      <c r="A171" s="380" t="s">
        <v>1137</v>
      </c>
      <c r="B171" s="547" t="s">
        <v>689</v>
      </c>
      <c r="C171" s="547"/>
      <c r="D171" s="547"/>
      <c r="E171" s="547" t="s">
        <v>776</v>
      </c>
      <c r="F171" s="547"/>
      <c r="G171" s="547"/>
      <c r="H171" s="354">
        <v>131</v>
      </c>
      <c r="I171" s="323">
        <v>8600</v>
      </c>
      <c r="J171" s="160"/>
      <c r="K171" s="145">
        <f t="shared" si="43"/>
        <v>0.35</v>
      </c>
      <c r="L171" s="340">
        <f t="shared" si="41"/>
        <v>85.15</v>
      </c>
      <c r="M171" s="156"/>
      <c r="N171" s="331">
        <f t="shared" si="42"/>
        <v>0</v>
      </c>
      <c r="O171" s="546">
        <v>1.7999999999999999E-2</v>
      </c>
      <c r="P171" s="546"/>
      <c r="Q171" s="381">
        <v>0.98</v>
      </c>
      <c r="R171" s="38"/>
      <c r="S171" s="92"/>
      <c r="T171" s="92"/>
      <c r="U171" s="92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</row>
    <row r="172" spans="1:57" s="5" customFormat="1" ht="40.25" customHeight="1">
      <c r="A172" s="380" t="s">
        <v>1138</v>
      </c>
      <c r="B172" s="547" t="s">
        <v>690</v>
      </c>
      <c r="C172" s="547"/>
      <c r="D172" s="547"/>
      <c r="E172" s="547" t="s">
        <v>776</v>
      </c>
      <c r="F172" s="547"/>
      <c r="G172" s="547"/>
      <c r="H172" s="354">
        <v>27</v>
      </c>
      <c r="I172" s="323">
        <v>1800</v>
      </c>
      <c r="J172" s="160"/>
      <c r="K172" s="145">
        <f t="shared" si="43"/>
        <v>0.35</v>
      </c>
      <c r="L172" s="340">
        <f t="shared" si="41"/>
        <v>17.55</v>
      </c>
      <c r="M172" s="156"/>
      <c r="N172" s="331">
        <f t="shared" si="42"/>
        <v>0</v>
      </c>
      <c r="O172" s="546">
        <v>1.6E-2</v>
      </c>
      <c r="P172" s="546"/>
      <c r="Q172" s="381">
        <v>1.5</v>
      </c>
      <c r="R172" s="38"/>
      <c r="S172" s="92"/>
      <c r="T172" s="92"/>
      <c r="U172" s="92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57" s="5" customFormat="1" ht="40.25" customHeight="1">
      <c r="A173" s="380" t="s">
        <v>1139</v>
      </c>
      <c r="B173" s="547" t="s">
        <v>691</v>
      </c>
      <c r="C173" s="547"/>
      <c r="D173" s="547"/>
      <c r="E173" s="547" t="s">
        <v>776</v>
      </c>
      <c r="F173" s="547"/>
      <c r="G173" s="547"/>
      <c r="H173" s="354">
        <v>199</v>
      </c>
      <c r="I173" s="323">
        <v>13000</v>
      </c>
      <c r="J173" s="160"/>
      <c r="K173" s="145">
        <f t="shared" si="43"/>
        <v>0.35</v>
      </c>
      <c r="L173" s="340">
        <f t="shared" si="41"/>
        <v>129.35000000000002</v>
      </c>
      <c r="M173" s="156"/>
      <c r="N173" s="331">
        <f t="shared" si="42"/>
        <v>0</v>
      </c>
      <c r="O173" s="546">
        <v>0.02</v>
      </c>
      <c r="P173" s="546"/>
      <c r="Q173" s="381">
        <v>0.3</v>
      </c>
      <c r="R173" s="38"/>
      <c r="S173" s="92"/>
      <c r="T173" s="92"/>
      <c r="U173" s="92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57" s="5" customFormat="1" ht="40.25" customHeight="1">
      <c r="A174" s="380" t="s">
        <v>1140</v>
      </c>
      <c r="B174" s="547" t="s">
        <v>375</v>
      </c>
      <c r="C174" s="547"/>
      <c r="D174" s="547"/>
      <c r="E174" s="547" t="s">
        <v>774</v>
      </c>
      <c r="F174" s="547"/>
      <c r="G174" s="547"/>
      <c r="H174" s="354">
        <v>156</v>
      </c>
      <c r="I174" s="323">
        <v>10200</v>
      </c>
      <c r="J174" s="160"/>
      <c r="K174" s="145">
        <f t="shared" si="43"/>
        <v>0.35</v>
      </c>
      <c r="L174" s="340">
        <f t="shared" si="41"/>
        <v>101.4</v>
      </c>
      <c r="M174" s="156"/>
      <c r="N174" s="331">
        <f t="shared" si="42"/>
        <v>0</v>
      </c>
      <c r="O174" s="546">
        <v>1.7999999999999999E-2</v>
      </c>
      <c r="P174" s="546"/>
      <c r="Q174" s="381">
        <v>0.98</v>
      </c>
      <c r="R174" s="38"/>
      <c r="S174" s="92"/>
      <c r="T174" s="92"/>
      <c r="U174" s="92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57" s="5" customFormat="1" ht="40.25" customHeight="1">
      <c r="A175" s="380" t="s">
        <v>1141</v>
      </c>
      <c r="B175" s="547" t="s">
        <v>235</v>
      </c>
      <c r="C175" s="547"/>
      <c r="D175" s="547"/>
      <c r="E175" s="547" t="s">
        <v>776</v>
      </c>
      <c r="F175" s="547"/>
      <c r="G175" s="547"/>
      <c r="H175" s="354">
        <v>128</v>
      </c>
      <c r="I175" s="323">
        <v>8400</v>
      </c>
      <c r="J175" s="160"/>
      <c r="K175" s="145">
        <f t="shared" si="43"/>
        <v>0.35</v>
      </c>
      <c r="L175" s="340">
        <f t="shared" si="41"/>
        <v>83.2</v>
      </c>
      <c r="M175" s="156"/>
      <c r="N175" s="331">
        <f t="shared" si="42"/>
        <v>0</v>
      </c>
      <c r="O175" s="546">
        <v>1.7999999999999999E-2</v>
      </c>
      <c r="P175" s="546"/>
      <c r="Q175" s="381">
        <v>0.98</v>
      </c>
      <c r="R175" s="38"/>
      <c r="S175" s="92"/>
      <c r="T175" s="92"/>
      <c r="U175" s="92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  <row r="176" spans="1:57" s="5" customFormat="1" ht="48" customHeight="1">
      <c r="A176" s="380" t="s">
        <v>1142</v>
      </c>
      <c r="B176" s="547" t="s">
        <v>7</v>
      </c>
      <c r="C176" s="547"/>
      <c r="D176" s="547"/>
      <c r="E176" s="547" t="s">
        <v>366</v>
      </c>
      <c r="F176" s="547"/>
      <c r="G176" s="547"/>
      <c r="H176" s="354">
        <v>210</v>
      </c>
      <c r="I176" s="323">
        <v>13700</v>
      </c>
      <c r="J176" s="160"/>
      <c r="K176" s="145">
        <f t="shared" si="43"/>
        <v>0.35</v>
      </c>
      <c r="L176" s="340">
        <f t="shared" si="41"/>
        <v>136.5</v>
      </c>
      <c r="M176" s="156"/>
      <c r="N176" s="331">
        <f t="shared" si="42"/>
        <v>0</v>
      </c>
      <c r="O176" s="546">
        <v>5.0000000000000001E-3</v>
      </c>
      <c r="P176" s="546"/>
      <c r="Q176" s="381">
        <v>0.27</v>
      </c>
      <c r="R176" s="38"/>
      <c r="S176" s="92"/>
      <c r="T176" s="92"/>
      <c r="U176" s="92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</row>
    <row r="177" spans="1:57" s="5" customFormat="1" ht="38.25" customHeight="1">
      <c r="A177" s="380" t="s">
        <v>1143</v>
      </c>
      <c r="B177" s="547" t="s">
        <v>376</v>
      </c>
      <c r="C177" s="547"/>
      <c r="D177" s="547"/>
      <c r="E177" s="547" t="s">
        <v>367</v>
      </c>
      <c r="F177" s="547"/>
      <c r="G177" s="547"/>
      <c r="H177" s="354">
        <v>792</v>
      </c>
      <c r="I177" s="323">
        <v>51500</v>
      </c>
      <c r="J177" s="160"/>
      <c r="K177" s="145">
        <f t="shared" si="43"/>
        <v>0.35</v>
      </c>
      <c r="L177" s="340">
        <f t="shared" si="41"/>
        <v>514.79999999999995</v>
      </c>
      <c r="M177" s="156"/>
      <c r="N177" s="331">
        <f t="shared" si="42"/>
        <v>0</v>
      </c>
      <c r="O177" s="546">
        <v>1.6E-2</v>
      </c>
      <c r="P177" s="546"/>
      <c r="Q177" s="381">
        <v>2</v>
      </c>
      <c r="R177" s="38"/>
      <c r="S177" s="92"/>
      <c r="T177" s="92"/>
      <c r="U177" s="92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</row>
    <row r="178" spans="1:57" s="5" customFormat="1" ht="41.25" customHeight="1">
      <c r="A178" s="382" t="s">
        <v>1144</v>
      </c>
      <c r="B178" s="547" t="s">
        <v>244</v>
      </c>
      <c r="C178" s="547"/>
      <c r="D178" s="547"/>
      <c r="E178" s="547"/>
      <c r="F178" s="547"/>
      <c r="G178" s="547"/>
      <c r="H178" s="354">
        <v>442</v>
      </c>
      <c r="I178" s="323">
        <v>28800</v>
      </c>
      <c r="J178" s="160"/>
      <c r="K178" s="145">
        <f t="shared" si="43"/>
        <v>0.35</v>
      </c>
      <c r="L178" s="340">
        <f t="shared" si="41"/>
        <v>287.3</v>
      </c>
      <c r="M178" s="156"/>
      <c r="N178" s="331">
        <f t="shared" si="42"/>
        <v>0</v>
      </c>
      <c r="O178" s="546">
        <v>1.6E-2</v>
      </c>
      <c r="P178" s="546"/>
      <c r="Q178" s="381">
        <v>2</v>
      </c>
      <c r="R178" s="38"/>
      <c r="S178" s="92"/>
      <c r="T178" s="92"/>
      <c r="U178" s="92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</row>
    <row r="179" spans="1:57" s="5" customFormat="1" ht="41.25" customHeight="1">
      <c r="A179" s="380" t="s">
        <v>1145</v>
      </c>
      <c r="B179" s="547" t="s">
        <v>377</v>
      </c>
      <c r="C179" s="547"/>
      <c r="D179" s="547"/>
      <c r="E179" s="547"/>
      <c r="F179" s="547"/>
      <c r="G179" s="547"/>
      <c r="H179" s="354">
        <v>456</v>
      </c>
      <c r="I179" s="323">
        <v>29700</v>
      </c>
      <c r="J179" s="160"/>
      <c r="K179" s="145">
        <f t="shared" si="43"/>
        <v>0.35</v>
      </c>
      <c r="L179" s="340">
        <f t="shared" si="41"/>
        <v>296.39999999999998</v>
      </c>
      <c r="M179" s="156"/>
      <c r="N179" s="331">
        <f t="shared" si="42"/>
        <v>0</v>
      </c>
      <c r="O179" s="546">
        <v>1.6E-2</v>
      </c>
      <c r="P179" s="546"/>
      <c r="Q179" s="381">
        <v>2</v>
      </c>
      <c r="R179" s="38"/>
      <c r="S179" s="92"/>
      <c r="T179" s="92"/>
      <c r="U179" s="92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</row>
    <row r="180" spans="1:57" s="5" customFormat="1" ht="41.25" customHeight="1">
      <c r="A180" s="380" t="s">
        <v>1146</v>
      </c>
      <c r="B180" s="547" t="s">
        <v>260</v>
      </c>
      <c r="C180" s="547"/>
      <c r="D180" s="547"/>
      <c r="E180" s="547"/>
      <c r="F180" s="547"/>
      <c r="G180" s="547"/>
      <c r="H180" s="354">
        <v>590</v>
      </c>
      <c r="I180" s="323">
        <v>38400</v>
      </c>
      <c r="J180" s="160"/>
      <c r="K180" s="145">
        <f t="shared" si="43"/>
        <v>0.35</v>
      </c>
      <c r="L180" s="340">
        <f t="shared" si="41"/>
        <v>383.5</v>
      </c>
      <c r="M180" s="161"/>
      <c r="N180" s="331">
        <f t="shared" si="42"/>
        <v>0</v>
      </c>
      <c r="O180" s="545">
        <v>6.0000000000000001E-3</v>
      </c>
      <c r="P180" s="545"/>
      <c r="Q180" s="381">
        <v>0.27</v>
      </c>
      <c r="R180" s="38"/>
      <c r="S180" s="92"/>
      <c r="T180" s="92"/>
      <c r="U180" s="92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</row>
    <row r="181" spans="1:57" s="5" customFormat="1" ht="46.5" customHeight="1">
      <c r="A181" s="380" t="s">
        <v>1147</v>
      </c>
      <c r="B181" s="547" t="s">
        <v>378</v>
      </c>
      <c r="C181" s="547"/>
      <c r="D181" s="547"/>
      <c r="E181" s="548" t="s">
        <v>452</v>
      </c>
      <c r="F181" s="549"/>
      <c r="G181" s="549"/>
      <c r="H181" s="354">
        <v>549</v>
      </c>
      <c r="I181" s="323">
        <v>35700</v>
      </c>
      <c r="J181" s="160"/>
      <c r="K181" s="145">
        <f t="shared" si="43"/>
        <v>0.35</v>
      </c>
      <c r="L181" s="340">
        <f t="shared" si="41"/>
        <v>356.85</v>
      </c>
      <c r="M181" s="161"/>
      <c r="N181" s="331">
        <f t="shared" si="42"/>
        <v>0</v>
      </c>
      <c r="O181" s="545">
        <v>8.9999999999999993E-3</v>
      </c>
      <c r="P181" s="545"/>
      <c r="Q181" s="381">
        <v>0.91</v>
      </c>
      <c r="R181" s="38"/>
      <c r="S181" s="92"/>
      <c r="T181" s="92"/>
      <c r="U181" s="92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</row>
    <row r="182" spans="1:57" s="5" customFormat="1" ht="45" customHeight="1">
      <c r="A182" s="380" t="s">
        <v>1148</v>
      </c>
      <c r="B182" s="547" t="s">
        <v>807</v>
      </c>
      <c r="C182" s="547"/>
      <c r="D182" s="547"/>
      <c r="E182" s="547" t="s">
        <v>777</v>
      </c>
      <c r="F182" s="547"/>
      <c r="G182" s="547"/>
      <c r="H182" s="354">
        <v>85</v>
      </c>
      <c r="I182" s="323">
        <v>5600</v>
      </c>
      <c r="J182" s="160"/>
      <c r="K182" s="145">
        <f t="shared" si="43"/>
        <v>0.35</v>
      </c>
      <c r="L182" s="340">
        <f t="shared" si="41"/>
        <v>55.25</v>
      </c>
      <c r="M182" s="156"/>
      <c r="N182" s="331">
        <f t="shared" si="42"/>
        <v>0</v>
      </c>
      <c r="O182" s="546">
        <v>1.4999999999999999E-2</v>
      </c>
      <c r="P182" s="546"/>
      <c r="Q182" s="381">
        <v>1.04</v>
      </c>
      <c r="R182" s="38"/>
      <c r="S182" s="92"/>
      <c r="T182" s="92"/>
      <c r="U182" s="92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</row>
    <row r="183" spans="1:57" s="5" customFormat="1" ht="45" customHeight="1">
      <c r="A183" s="380" t="s">
        <v>1149</v>
      </c>
      <c r="B183" s="547" t="s">
        <v>109</v>
      </c>
      <c r="C183" s="547"/>
      <c r="D183" s="547"/>
      <c r="E183" s="547" t="s">
        <v>483</v>
      </c>
      <c r="F183" s="547"/>
      <c r="G183" s="547"/>
      <c r="H183" s="354">
        <v>85</v>
      </c>
      <c r="I183" s="323">
        <v>5600</v>
      </c>
      <c r="J183" s="160"/>
      <c r="K183" s="145">
        <f t="shared" si="43"/>
        <v>0.35</v>
      </c>
      <c r="L183" s="340">
        <f t="shared" si="41"/>
        <v>55.25</v>
      </c>
      <c r="M183" s="156"/>
      <c r="N183" s="331">
        <f t="shared" si="42"/>
        <v>0</v>
      </c>
      <c r="O183" s="546">
        <v>1.6E-2</v>
      </c>
      <c r="P183" s="546"/>
      <c r="Q183" s="381">
        <v>1.23</v>
      </c>
      <c r="R183" s="38"/>
      <c r="S183" s="92"/>
      <c r="T183" s="92"/>
      <c r="U183" s="92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</row>
    <row r="184" spans="1:57" ht="29.25" customHeight="1">
      <c r="A184" s="380" t="s">
        <v>1150</v>
      </c>
      <c r="B184" s="547" t="s">
        <v>181</v>
      </c>
      <c r="C184" s="547"/>
      <c r="D184" s="547"/>
      <c r="E184" s="547" t="s">
        <v>368</v>
      </c>
      <c r="F184" s="547"/>
      <c r="G184" s="547"/>
      <c r="H184" s="354">
        <v>221</v>
      </c>
      <c r="I184" s="323">
        <v>14400</v>
      </c>
      <c r="J184" s="160"/>
      <c r="K184" s="145">
        <f t="shared" si="43"/>
        <v>0.35</v>
      </c>
      <c r="L184" s="340">
        <f t="shared" si="41"/>
        <v>143.65</v>
      </c>
      <c r="M184" s="156"/>
      <c r="N184" s="331">
        <f t="shared" si="42"/>
        <v>0</v>
      </c>
      <c r="O184" s="546">
        <v>0</v>
      </c>
      <c r="P184" s="546"/>
      <c r="Q184" s="381">
        <v>0.4</v>
      </c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</row>
    <row r="185" spans="1:57" s="82" customFormat="1" ht="15" customHeight="1">
      <c r="A185" s="383" t="s">
        <v>535</v>
      </c>
      <c r="B185" s="104"/>
      <c r="C185" s="105"/>
      <c r="D185" s="105"/>
      <c r="E185" s="105"/>
      <c r="F185" s="105"/>
      <c r="G185" s="106"/>
      <c r="H185" s="106"/>
      <c r="I185" s="106"/>
      <c r="J185" s="107"/>
      <c r="K185" s="108"/>
      <c r="L185" s="109"/>
      <c r="M185" s="110"/>
      <c r="N185" s="111"/>
      <c r="O185" s="366"/>
      <c r="P185" s="107"/>
      <c r="Q185" s="384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</row>
    <row r="186" spans="1:57" s="82" customFormat="1" ht="12.5">
      <c r="A186" s="600" t="s">
        <v>817</v>
      </c>
      <c r="B186" s="601"/>
      <c r="C186" s="601"/>
      <c r="D186" s="601"/>
      <c r="E186" s="601"/>
      <c r="F186" s="601"/>
      <c r="G186" s="601"/>
      <c r="H186" s="601"/>
      <c r="I186" s="601"/>
      <c r="J186" s="601"/>
      <c r="K186" s="601"/>
      <c r="L186" s="601"/>
      <c r="M186" s="601"/>
      <c r="N186" s="601"/>
      <c r="O186" s="601"/>
      <c r="P186" s="601"/>
      <c r="Q186" s="602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</row>
    <row r="187" spans="1:57" s="82" customFormat="1" ht="12.5">
      <c r="A187" s="597"/>
      <c r="B187" s="598"/>
      <c r="C187" s="598"/>
      <c r="D187" s="598"/>
      <c r="E187" s="598"/>
      <c r="F187" s="598"/>
      <c r="G187" s="598"/>
      <c r="H187" s="598"/>
      <c r="I187" s="598"/>
      <c r="J187" s="598"/>
      <c r="K187" s="598"/>
      <c r="L187" s="598"/>
      <c r="M187" s="598"/>
      <c r="N187" s="598"/>
      <c r="O187" s="598"/>
      <c r="P187" s="598"/>
      <c r="Q187" s="599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</row>
    <row r="188" spans="1:57" s="82" customFormat="1" ht="12.5">
      <c r="A188" s="594" t="s">
        <v>816</v>
      </c>
      <c r="B188" s="595"/>
      <c r="C188" s="595"/>
      <c r="D188" s="595"/>
      <c r="E188" s="595"/>
      <c r="F188" s="595"/>
      <c r="G188" s="595"/>
      <c r="H188" s="595"/>
      <c r="I188" s="595"/>
      <c r="J188" s="595"/>
      <c r="K188" s="595"/>
      <c r="L188" s="595"/>
      <c r="M188" s="595"/>
      <c r="N188" s="595"/>
      <c r="O188" s="595"/>
      <c r="P188" s="595"/>
      <c r="Q188" s="596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</row>
    <row r="189" spans="1:57" s="82" customFormat="1" ht="12.5">
      <c r="A189" s="591" t="s">
        <v>548</v>
      </c>
      <c r="B189" s="592"/>
      <c r="C189" s="592"/>
      <c r="D189" s="592"/>
      <c r="E189" s="592"/>
      <c r="F189" s="592"/>
      <c r="G189" s="592"/>
      <c r="H189" s="592"/>
      <c r="I189" s="592"/>
      <c r="J189" s="592"/>
      <c r="K189" s="592"/>
      <c r="L189" s="592"/>
      <c r="M189" s="592"/>
      <c r="N189" s="592"/>
      <c r="O189" s="592"/>
      <c r="P189" s="592"/>
      <c r="Q189" s="593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</row>
    <row r="190" spans="1:57" s="82" customFormat="1" ht="12.5">
      <c r="A190" s="591" t="s">
        <v>819</v>
      </c>
      <c r="B190" s="592"/>
      <c r="C190" s="592"/>
      <c r="D190" s="592"/>
      <c r="E190" s="592"/>
      <c r="F190" s="592"/>
      <c r="G190" s="592"/>
      <c r="H190" s="592"/>
      <c r="I190" s="592"/>
      <c r="J190" s="592"/>
      <c r="K190" s="592"/>
      <c r="L190" s="592"/>
      <c r="M190" s="592"/>
      <c r="N190" s="592"/>
      <c r="O190" s="592"/>
      <c r="P190" s="592"/>
      <c r="Q190" s="593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</row>
    <row r="191" spans="1:57" s="82" customFormat="1" thickBot="1">
      <c r="A191" s="588" t="s">
        <v>563</v>
      </c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90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</row>
    <row r="192" spans="1:57" s="32" customFormat="1">
      <c r="A192" s="38"/>
      <c r="B192" s="38"/>
      <c r="C192" s="38"/>
      <c r="D192" s="38"/>
      <c r="E192" s="38"/>
      <c r="F192" s="38"/>
      <c r="G192" s="38"/>
      <c r="H192" s="43"/>
      <c r="I192" s="43"/>
      <c r="J192" s="38"/>
      <c r="K192" s="38"/>
      <c r="L192" s="38"/>
      <c r="M192" s="38"/>
      <c r="N192" s="38"/>
      <c r="O192" s="38"/>
      <c r="P192" s="38"/>
      <c r="Q192" s="38"/>
    </row>
    <row r="193" spans="1:9" s="32" customFormat="1" ht="48" customHeight="1">
      <c r="G193" s="55"/>
      <c r="H193" s="93"/>
      <c r="I193" s="38"/>
    </row>
    <row r="194" spans="1:9" s="32" customFormat="1">
      <c r="A194" s="38"/>
      <c r="B194" s="38"/>
      <c r="C194" s="38"/>
      <c r="D194" s="38"/>
      <c r="E194" s="38"/>
      <c r="F194" s="38"/>
      <c r="G194" s="38"/>
      <c r="H194" s="43"/>
      <c r="I194" s="38"/>
    </row>
    <row r="195" spans="1:9" s="32" customFormat="1">
      <c r="A195" s="38"/>
      <c r="B195" s="38"/>
      <c r="C195" s="38"/>
      <c r="D195" s="38"/>
      <c r="E195" s="38"/>
      <c r="F195" s="38"/>
      <c r="G195" s="38"/>
      <c r="H195" s="43"/>
      <c r="I195" s="38"/>
    </row>
    <row r="196" spans="1:9" s="32" customFormat="1">
      <c r="A196" s="38"/>
      <c r="B196" s="38"/>
      <c r="C196" s="38"/>
      <c r="D196" s="38"/>
      <c r="E196" s="38"/>
      <c r="F196" s="38"/>
      <c r="G196" s="38"/>
      <c r="H196" s="43"/>
      <c r="I196" s="38"/>
    </row>
    <row r="197" spans="1:9" s="32" customFormat="1">
      <c r="A197" s="38"/>
      <c r="B197" s="38"/>
      <c r="C197" s="38"/>
      <c r="D197" s="38"/>
      <c r="E197" s="38"/>
      <c r="F197" s="38"/>
      <c r="G197" s="38"/>
      <c r="H197" s="43"/>
      <c r="I197" s="38"/>
    </row>
    <row r="198" spans="1:9" s="32" customFormat="1">
      <c r="A198" s="38"/>
      <c r="B198" s="38"/>
      <c r="C198" s="38"/>
      <c r="D198" s="38"/>
      <c r="E198" s="38"/>
      <c r="F198" s="38"/>
      <c r="G198" s="38"/>
      <c r="H198" s="43"/>
      <c r="I198" s="38"/>
    </row>
    <row r="199" spans="1:9" s="32" customFormat="1">
      <c r="A199" s="38"/>
      <c r="B199" s="38"/>
      <c r="C199" s="38"/>
      <c r="D199" s="38"/>
      <c r="E199" s="38"/>
      <c r="F199" s="38"/>
      <c r="G199" s="38"/>
      <c r="H199" s="43"/>
      <c r="I199" s="38"/>
    </row>
    <row r="200" spans="1:9" s="32" customFormat="1">
      <c r="A200" s="38"/>
      <c r="B200" s="38"/>
      <c r="C200" s="38"/>
      <c r="D200" s="38"/>
      <c r="E200" s="38"/>
      <c r="F200" s="38"/>
      <c r="G200" s="38"/>
      <c r="H200" s="43"/>
      <c r="I200" s="38"/>
    </row>
    <row r="201" spans="1:9" s="32" customFormat="1">
      <c r="A201" s="38"/>
      <c r="B201" s="38"/>
      <c r="C201" s="38"/>
      <c r="D201" s="38"/>
      <c r="E201" s="38"/>
      <c r="F201" s="38"/>
      <c r="G201" s="38"/>
      <c r="H201" s="43"/>
      <c r="I201" s="38"/>
    </row>
    <row r="202" spans="1:9" s="32" customFormat="1" ht="21" customHeight="1">
      <c r="A202" s="38"/>
      <c r="B202" s="38"/>
      <c r="C202" s="38"/>
      <c r="D202" s="38"/>
      <c r="E202" s="38"/>
      <c r="F202" s="38"/>
      <c r="G202" s="38"/>
      <c r="H202" s="43"/>
      <c r="I202" s="38"/>
    </row>
    <row r="203" spans="1:9" s="32" customFormat="1" ht="21" customHeight="1">
      <c r="A203" s="38"/>
      <c r="B203" s="38"/>
      <c r="C203" s="38"/>
      <c r="D203" s="38"/>
      <c r="E203" s="38"/>
      <c r="F203" s="38"/>
      <c r="G203" s="38"/>
      <c r="H203" s="43"/>
      <c r="I203" s="38"/>
    </row>
    <row r="204" spans="1:9" s="32" customFormat="1" ht="21" customHeight="1">
      <c r="A204" s="38"/>
      <c r="B204" s="38"/>
      <c r="C204" s="38"/>
      <c r="D204" s="38"/>
      <c r="E204" s="38"/>
      <c r="F204" s="38"/>
      <c r="G204" s="38"/>
      <c r="H204" s="43"/>
      <c r="I204" s="38"/>
    </row>
    <row r="205" spans="1:9" s="32" customFormat="1" ht="21" customHeight="1">
      <c r="A205" s="38"/>
      <c r="B205" s="38"/>
      <c r="C205" s="38"/>
      <c r="D205" s="38"/>
      <c r="E205" s="38"/>
      <c r="F205" s="38"/>
      <c r="G205" s="38"/>
      <c r="H205" s="43"/>
      <c r="I205" s="38"/>
    </row>
    <row r="206" spans="1:9" s="32" customFormat="1">
      <c r="A206" s="38"/>
      <c r="B206" s="38"/>
      <c r="C206" s="38"/>
      <c r="D206" s="38"/>
      <c r="E206" s="38"/>
      <c r="F206" s="38"/>
      <c r="G206" s="38"/>
      <c r="H206" s="43"/>
      <c r="I206" s="38"/>
    </row>
    <row r="207" spans="1:9" s="32" customFormat="1">
      <c r="A207" s="38"/>
      <c r="B207" s="38"/>
      <c r="C207" s="38"/>
      <c r="D207" s="38"/>
      <c r="E207" s="38"/>
      <c r="F207" s="38"/>
      <c r="G207" s="38"/>
      <c r="H207" s="43"/>
      <c r="I207" s="38"/>
    </row>
    <row r="208" spans="1:9" s="32" customFormat="1">
      <c r="A208" s="38"/>
      <c r="B208" s="38"/>
      <c r="C208" s="38"/>
      <c r="D208" s="38"/>
      <c r="E208" s="38"/>
      <c r="F208" s="38"/>
      <c r="G208" s="38"/>
      <c r="H208" s="43"/>
      <c r="I208" s="38"/>
    </row>
    <row r="209" spans="1:17" s="32" customFormat="1">
      <c r="A209" s="38"/>
      <c r="B209" s="38"/>
      <c r="C209" s="38"/>
      <c r="D209" s="38"/>
      <c r="E209" s="38"/>
      <c r="F209" s="38"/>
      <c r="G209" s="38"/>
      <c r="H209" s="43"/>
      <c r="I209" s="38"/>
    </row>
    <row r="210" spans="1:17" s="32" customFormat="1">
      <c r="A210" s="38"/>
      <c r="B210" s="38"/>
      <c r="C210" s="38"/>
      <c r="D210" s="38"/>
      <c r="E210" s="38"/>
      <c r="F210" s="38"/>
      <c r="G210" s="38"/>
      <c r="H210" s="43"/>
      <c r="I210" s="43"/>
      <c r="J210" s="38"/>
      <c r="K210" s="38"/>
      <c r="L210" s="38"/>
      <c r="M210" s="38"/>
      <c r="N210" s="38"/>
      <c r="O210" s="38"/>
      <c r="P210" s="38"/>
      <c r="Q210" s="38"/>
    </row>
    <row r="211" spans="1:17" s="32" customFormat="1">
      <c r="A211" s="38"/>
      <c r="B211" s="38"/>
      <c r="C211" s="38"/>
      <c r="D211" s="38"/>
      <c r="E211" s="38"/>
      <c r="F211" s="38"/>
      <c r="G211" s="38"/>
      <c r="H211" s="43"/>
      <c r="I211" s="43"/>
      <c r="J211" s="38"/>
      <c r="K211" s="38"/>
      <c r="L211" s="38"/>
      <c r="M211" s="38"/>
      <c r="N211" s="38"/>
      <c r="O211" s="38"/>
      <c r="P211" s="38"/>
      <c r="Q211" s="38"/>
    </row>
    <row r="212" spans="1:17" s="32" customFormat="1">
      <c r="A212" s="38"/>
      <c r="B212" s="38"/>
      <c r="C212" s="38"/>
      <c r="D212" s="38"/>
      <c r="E212" s="38"/>
      <c r="F212" s="38"/>
      <c r="G212" s="38"/>
      <c r="H212" s="43"/>
      <c r="I212" s="43"/>
      <c r="J212" s="38"/>
      <c r="K212" s="38"/>
      <c r="L212" s="38"/>
      <c r="M212" s="38"/>
      <c r="N212" s="38"/>
      <c r="O212" s="38"/>
      <c r="P212" s="38"/>
      <c r="Q212" s="38"/>
    </row>
    <row r="213" spans="1:17" s="32" customFormat="1">
      <c r="A213" s="38"/>
      <c r="B213" s="38"/>
      <c r="C213" s="38"/>
      <c r="D213" s="38"/>
      <c r="E213" s="38"/>
      <c r="F213" s="38"/>
      <c r="G213" s="38"/>
      <c r="H213" s="43"/>
      <c r="I213" s="43"/>
      <c r="J213" s="38"/>
      <c r="K213" s="38"/>
      <c r="L213" s="38"/>
      <c r="M213" s="38"/>
      <c r="N213" s="38"/>
      <c r="O213" s="38"/>
      <c r="P213" s="38"/>
      <c r="Q213" s="38"/>
    </row>
    <row r="214" spans="1:17" s="32" customFormat="1">
      <c r="A214" s="38"/>
      <c r="B214" s="38"/>
      <c r="C214" s="38"/>
      <c r="D214" s="38"/>
      <c r="E214" s="38"/>
      <c r="F214" s="38"/>
      <c r="G214" s="38"/>
      <c r="H214" s="43"/>
      <c r="I214" s="43"/>
      <c r="J214" s="38"/>
      <c r="K214" s="38"/>
      <c r="L214" s="38"/>
      <c r="M214" s="38"/>
      <c r="N214" s="38"/>
      <c r="O214" s="38"/>
      <c r="P214" s="38"/>
      <c r="Q214" s="38"/>
    </row>
    <row r="215" spans="1:17" s="32" customFormat="1">
      <c r="A215" s="38"/>
      <c r="B215" s="38"/>
      <c r="C215" s="38"/>
      <c r="D215" s="38"/>
      <c r="E215" s="38"/>
      <c r="F215" s="38"/>
      <c r="G215" s="38"/>
      <c r="H215" s="43"/>
      <c r="I215" s="43"/>
      <c r="J215" s="38"/>
      <c r="K215" s="38"/>
      <c r="L215" s="38"/>
      <c r="M215" s="38"/>
      <c r="N215" s="38"/>
      <c r="O215" s="38"/>
      <c r="P215" s="38"/>
      <c r="Q215" s="38"/>
    </row>
    <row r="216" spans="1:17" s="32" customFormat="1">
      <c r="A216" s="38"/>
      <c r="B216" s="38"/>
      <c r="C216" s="38"/>
      <c r="D216" s="38"/>
      <c r="E216" s="38"/>
      <c r="F216" s="38"/>
      <c r="G216" s="38"/>
      <c r="H216" s="43"/>
      <c r="I216" s="43"/>
      <c r="J216" s="38"/>
      <c r="K216" s="38"/>
      <c r="L216" s="38"/>
      <c r="M216" s="38"/>
      <c r="N216" s="38"/>
      <c r="O216" s="38"/>
      <c r="P216" s="38"/>
      <c r="Q216" s="38"/>
    </row>
    <row r="217" spans="1:17" s="32" customFormat="1">
      <c r="A217" s="38"/>
      <c r="B217" s="38"/>
      <c r="C217" s="38"/>
      <c r="D217" s="38"/>
      <c r="E217" s="38"/>
      <c r="F217" s="38"/>
      <c r="G217" s="38"/>
      <c r="H217" s="43"/>
      <c r="I217" s="43"/>
      <c r="J217" s="38"/>
      <c r="K217" s="38"/>
      <c r="L217" s="38"/>
      <c r="M217" s="38"/>
      <c r="N217" s="38"/>
      <c r="O217" s="38"/>
      <c r="P217" s="38"/>
      <c r="Q217" s="38"/>
    </row>
    <row r="218" spans="1:17" s="32" customFormat="1">
      <c r="A218" s="38"/>
      <c r="B218" s="38"/>
      <c r="C218" s="38"/>
      <c r="D218" s="38"/>
      <c r="E218" s="38"/>
      <c r="F218" s="38"/>
      <c r="G218" s="38"/>
      <c r="H218" s="43"/>
      <c r="I218" s="43"/>
      <c r="J218" s="38"/>
      <c r="K218" s="38"/>
      <c r="L218" s="38"/>
      <c r="M218" s="38"/>
      <c r="N218" s="38"/>
      <c r="O218" s="38"/>
      <c r="P218" s="38"/>
      <c r="Q218" s="38"/>
    </row>
    <row r="219" spans="1:17" s="32" customFormat="1">
      <c r="A219" s="38"/>
      <c r="B219" s="38"/>
      <c r="C219" s="38"/>
      <c r="D219" s="38"/>
      <c r="E219" s="38"/>
      <c r="F219" s="38"/>
      <c r="G219" s="38"/>
      <c r="H219" s="43"/>
      <c r="I219" s="43"/>
      <c r="J219" s="38"/>
      <c r="K219" s="38"/>
      <c r="L219" s="38"/>
      <c r="M219" s="38"/>
      <c r="N219" s="38"/>
      <c r="O219" s="38"/>
      <c r="P219" s="38"/>
      <c r="Q219" s="38"/>
    </row>
    <row r="220" spans="1:17" s="32" customFormat="1">
      <c r="A220" s="38"/>
      <c r="B220" s="38"/>
      <c r="C220" s="38"/>
      <c r="D220" s="38"/>
      <c r="E220" s="38"/>
      <c r="F220" s="38"/>
      <c r="G220" s="38"/>
      <c r="H220" s="43"/>
      <c r="I220" s="43"/>
      <c r="J220" s="38"/>
      <c r="K220" s="38"/>
      <c r="L220" s="38"/>
      <c r="M220" s="38"/>
      <c r="N220" s="38"/>
      <c r="O220" s="38"/>
      <c r="P220" s="38"/>
      <c r="Q220" s="38"/>
    </row>
    <row r="221" spans="1:17" s="32" customFormat="1">
      <c r="A221" s="38"/>
      <c r="B221" s="38"/>
      <c r="C221" s="38"/>
      <c r="D221" s="38"/>
      <c r="E221" s="38"/>
      <c r="F221" s="38"/>
      <c r="G221" s="38"/>
      <c r="H221" s="43"/>
      <c r="I221" s="43"/>
      <c r="J221" s="38"/>
      <c r="K221" s="38"/>
      <c r="L221" s="38"/>
      <c r="M221" s="38"/>
      <c r="N221" s="38"/>
      <c r="O221" s="38"/>
      <c r="P221" s="38"/>
      <c r="Q221" s="38"/>
    </row>
    <row r="222" spans="1:17" s="32" customFormat="1">
      <c r="A222" s="38"/>
      <c r="B222" s="38"/>
      <c r="C222" s="38"/>
      <c r="D222" s="38"/>
      <c r="E222" s="38"/>
      <c r="F222" s="38"/>
      <c r="G222" s="38"/>
      <c r="H222" s="43"/>
      <c r="I222" s="43"/>
      <c r="J222" s="38"/>
      <c r="K222" s="38"/>
      <c r="L222" s="38"/>
      <c r="M222" s="38"/>
      <c r="N222" s="38"/>
      <c r="O222" s="38"/>
      <c r="P222" s="38"/>
      <c r="Q222" s="38"/>
    </row>
    <row r="223" spans="1:17" s="32" customFormat="1">
      <c r="A223" s="38"/>
      <c r="B223" s="38"/>
      <c r="C223" s="38"/>
      <c r="D223" s="38"/>
      <c r="E223" s="38"/>
      <c r="F223" s="38"/>
      <c r="G223" s="38"/>
      <c r="H223" s="43"/>
      <c r="I223" s="43"/>
      <c r="J223" s="38"/>
      <c r="K223" s="38"/>
      <c r="L223" s="38"/>
      <c r="M223" s="38"/>
      <c r="N223" s="38"/>
      <c r="O223" s="38"/>
      <c r="P223" s="38"/>
      <c r="Q223" s="38"/>
    </row>
    <row r="224" spans="1:17" s="32" customFormat="1">
      <c r="A224" s="38"/>
      <c r="B224" s="38"/>
      <c r="C224" s="38"/>
      <c r="D224" s="38"/>
      <c r="E224" s="38"/>
      <c r="F224" s="38"/>
      <c r="G224" s="38"/>
      <c r="H224" s="43"/>
      <c r="I224" s="43"/>
      <c r="J224" s="38"/>
      <c r="K224" s="38"/>
      <c r="L224" s="38"/>
      <c r="M224" s="38"/>
      <c r="N224" s="38"/>
      <c r="O224" s="38"/>
      <c r="P224" s="38"/>
      <c r="Q224" s="38"/>
    </row>
    <row r="225" spans="1:17" s="32" customFormat="1">
      <c r="A225" s="38"/>
      <c r="B225" s="38"/>
      <c r="C225" s="38"/>
      <c r="D225" s="38"/>
      <c r="E225" s="38"/>
      <c r="F225" s="38"/>
      <c r="G225" s="38"/>
      <c r="H225" s="43"/>
      <c r="I225" s="43"/>
      <c r="J225" s="38"/>
      <c r="K225" s="38"/>
      <c r="L225" s="38"/>
      <c r="M225" s="38"/>
      <c r="N225" s="38"/>
      <c r="O225" s="38"/>
      <c r="P225" s="38"/>
      <c r="Q225" s="38"/>
    </row>
    <row r="226" spans="1:17" s="32" customFormat="1">
      <c r="A226" s="38"/>
      <c r="B226" s="38"/>
      <c r="C226" s="38"/>
      <c r="D226" s="38"/>
      <c r="E226" s="38"/>
      <c r="F226" s="38"/>
      <c r="G226" s="38"/>
      <c r="H226" s="43"/>
      <c r="I226" s="43"/>
      <c r="J226" s="38"/>
      <c r="K226" s="38"/>
      <c r="L226" s="38"/>
      <c r="M226" s="38"/>
      <c r="N226" s="38"/>
      <c r="O226" s="38"/>
      <c r="P226" s="38"/>
      <c r="Q226" s="38"/>
    </row>
    <row r="227" spans="1:17" s="32" customFormat="1">
      <c r="A227" s="38"/>
      <c r="B227" s="38"/>
      <c r="C227" s="38"/>
      <c r="D227" s="38"/>
      <c r="E227" s="38"/>
      <c r="F227" s="38"/>
      <c r="G227" s="38"/>
      <c r="H227" s="43"/>
      <c r="I227" s="43"/>
      <c r="J227" s="38"/>
      <c r="K227" s="38"/>
      <c r="L227" s="38"/>
      <c r="M227" s="38"/>
      <c r="N227" s="38"/>
      <c r="O227" s="38"/>
      <c r="P227" s="38"/>
      <c r="Q227" s="38"/>
    </row>
    <row r="228" spans="1:17" s="32" customFormat="1">
      <c r="A228" s="38"/>
      <c r="B228" s="38"/>
      <c r="C228" s="38"/>
      <c r="D228" s="38"/>
      <c r="E228" s="38"/>
      <c r="F228" s="38"/>
      <c r="G228" s="38"/>
      <c r="H228" s="43"/>
      <c r="I228" s="43"/>
      <c r="J228" s="38"/>
      <c r="K228" s="38"/>
      <c r="L228" s="38"/>
      <c r="M228" s="38"/>
      <c r="N228" s="38"/>
      <c r="O228" s="38"/>
      <c r="P228" s="38"/>
      <c r="Q228" s="38"/>
    </row>
    <row r="229" spans="1:17" s="32" customFormat="1">
      <c r="A229" s="38"/>
      <c r="B229" s="38"/>
      <c r="C229" s="38"/>
      <c r="D229" s="38"/>
      <c r="E229" s="38"/>
      <c r="F229" s="38"/>
      <c r="G229" s="38"/>
      <c r="H229" s="43"/>
      <c r="I229" s="43"/>
      <c r="J229" s="38"/>
      <c r="K229" s="38"/>
      <c r="L229" s="38"/>
      <c r="M229" s="38"/>
      <c r="N229" s="38"/>
      <c r="O229" s="38"/>
      <c r="P229" s="38"/>
      <c r="Q229" s="38"/>
    </row>
    <row r="230" spans="1:17" s="32" customFormat="1">
      <c r="A230" s="38"/>
      <c r="B230" s="38"/>
      <c r="C230" s="38"/>
      <c r="D230" s="38"/>
      <c r="E230" s="38"/>
      <c r="F230" s="38"/>
      <c r="G230" s="38"/>
      <c r="H230" s="43"/>
      <c r="I230" s="43"/>
      <c r="J230" s="38"/>
      <c r="K230" s="38"/>
      <c r="L230" s="38"/>
      <c r="M230" s="38"/>
      <c r="N230" s="38"/>
      <c r="O230" s="38"/>
      <c r="P230" s="38"/>
      <c r="Q230" s="38"/>
    </row>
    <row r="231" spans="1:17" s="32" customFormat="1">
      <c r="A231" s="38"/>
      <c r="B231" s="38"/>
      <c r="C231" s="38"/>
      <c r="D231" s="38"/>
      <c r="E231" s="38"/>
      <c r="F231" s="38"/>
      <c r="G231" s="38"/>
      <c r="H231" s="43"/>
      <c r="I231" s="43"/>
      <c r="J231" s="38"/>
      <c r="K231" s="38"/>
      <c r="L231" s="38"/>
      <c r="M231" s="38"/>
      <c r="N231" s="38"/>
      <c r="O231" s="38"/>
      <c r="P231" s="38"/>
      <c r="Q231" s="38"/>
    </row>
    <row r="232" spans="1:17" s="32" customFormat="1">
      <c r="A232" s="38"/>
      <c r="B232" s="38"/>
      <c r="C232" s="38"/>
      <c r="D232" s="38"/>
      <c r="E232" s="38"/>
      <c r="F232" s="38"/>
      <c r="G232" s="38"/>
      <c r="H232" s="43"/>
      <c r="I232" s="43"/>
      <c r="J232" s="38"/>
      <c r="K232" s="38"/>
      <c r="L232" s="38"/>
      <c r="M232" s="38"/>
      <c r="N232" s="38"/>
      <c r="O232" s="38"/>
      <c r="P232" s="38"/>
      <c r="Q232" s="38"/>
    </row>
    <row r="233" spans="1:17" s="32" customFormat="1">
      <c r="A233" s="38"/>
      <c r="B233" s="38"/>
      <c r="C233" s="38"/>
      <c r="D233" s="38"/>
      <c r="E233" s="38"/>
      <c r="F233" s="38"/>
      <c r="G233" s="38"/>
      <c r="H233" s="43"/>
      <c r="I233" s="43"/>
      <c r="J233" s="38"/>
      <c r="K233" s="38"/>
      <c r="L233" s="38"/>
      <c r="M233" s="38"/>
      <c r="N233" s="38"/>
      <c r="O233" s="38"/>
      <c r="P233" s="38"/>
      <c r="Q233" s="38"/>
    </row>
    <row r="234" spans="1:17" s="32" customFormat="1">
      <c r="A234" s="38"/>
      <c r="B234" s="38"/>
      <c r="C234" s="38"/>
      <c r="D234" s="38"/>
      <c r="E234" s="38"/>
      <c r="F234" s="38"/>
      <c r="G234" s="38"/>
      <c r="H234" s="43"/>
      <c r="I234" s="43"/>
      <c r="J234" s="38"/>
      <c r="K234" s="38"/>
      <c r="L234" s="38"/>
      <c r="M234" s="38"/>
      <c r="N234" s="38"/>
      <c r="O234" s="38"/>
      <c r="P234" s="38"/>
      <c r="Q234" s="38"/>
    </row>
    <row r="235" spans="1:17" s="32" customFormat="1">
      <c r="A235" s="38"/>
      <c r="B235" s="38"/>
      <c r="C235" s="38"/>
      <c r="D235" s="38"/>
      <c r="E235" s="38"/>
      <c r="F235" s="38"/>
      <c r="G235" s="38"/>
      <c r="H235" s="43"/>
      <c r="I235" s="43"/>
      <c r="J235" s="38"/>
      <c r="K235" s="38"/>
      <c r="L235" s="38"/>
      <c r="M235" s="38"/>
      <c r="N235" s="38"/>
      <c r="O235" s="38"/>
      <c r="P235" s="38"/>
      <c r="Q235" s="38"/>
    </row>
    <row r="236" spans="1:17" s="32" customFormat="1">
      <c r="A236" s="38"/>
      <c r="B236" s="38"/>
      <c r="C236" s="38"/>
      <c r="D236" s="38"/>
      <c r="E236" s="38"/>
      <c r="F236" s="38"/>
      <c r="G236" s="38"/>
      <c r="H236" s="43"/>
      <c r="I236" s="43"/>
      <c r="J236" s="38"/>
      <c r="K236" s="38"/>
      <c r="L236" s="38"/>
      <c r="M236" s="38"/>
      <c r="N236" s="38"/>
      <c r="O236" s="38"/>
      <c r="P236" s="38"/>
      <c r="Q236" s="38"/>
    </row>
    <row r="237" spans="1:17" s="32" customFormat="1">
      <c r="A237" s="38"/>
      <c r="B237" s="38"/>
      <c r="C237" s="38"/>
      <c r="D237" s="38"/>
      <c r="E237" s="38"/>
      <c r="F237" s="38"/>
      <c r="G237" s="38"/>
      <c r="H237" s="43"/>
      <c r="I237" s="43"/>
      <c r="J237" s="38"/>
      <c r="K237" s="38"/>
      <c r="L237" s="38"/>
      <c r="M237" s="38"/>
      <c r="N237" s="38"/>
      <c r="O237" s="38"/>
      <c r="P237" s="38"/>
      <c r="Q237" s="38"/>
    </row>
    <row r="238" spans="1:17" s="32" customFormat="1">
      <c r="A238" s="38"/>
      <c r="B238" s="38"/>
      <c r="C238" s="38"/>
      <c r="D238" s="38"/>
      <c r="E238" s="38"/>
      <c r="F238" s="38"/>
      <c r="G238" s="38"/>
      <c r="H238" s="43"/>
      <c r="I238" s="43"/>
      <c r="J238" s="38"/>
      <c r="K238" s="38"/>
      <c r="L238" s="38"/>
      <c r="M238" s="38"/>
      <c r="N238" s="38"/>
      <c r="O238" s="38"/>
      <c r="P238" s="38"/>
      <c r="Q238" s="38"/>
    </row>
    <row r="239" spans="1:17" s="32" customFormat="1">
      <c r="A239" s="38"/>
      <c r="B239" s="38"/>
      <c r="C239" s="38"/>
      <c r="D239" s="38"/>
      <c r="E239" s="38"/>
      <c r="F239" s="38"/>
      <c r="G239" s="38"/>
      <c r="H239" s="43"/>
      <c r="I239" s="43"/>
      <c r="J239" s="38"/>
      <c r="K239" s="38"/>
      <c r="L239" s="38"/>
      <c r="M239" s="38"/>
      <c r="N239" s="38"/>
      <c r="O239" s="38"/>
      <c r="P239" s="38"/>
      <c r="Q239" s="38"/>
    </row>
    <row r="240" spans="1:17" s="32" customFormat="1">
      <c r="A240" s="38"/>
      <c r="B240" s="38"/>
      <c r="C240" s="38"/>
      <c r="D240" s="38"/>
      <c r="E240" s="38"/>
      <c r="F240" s="38"/>
      <c r="G240" s="38"/>
      <c r="H240" s="43"/>
      <c r="I240" s="43"/>
      <c r="J240" s="38"/>
      <c r="K240" s="38"/>
      <c r="L240" s="38"/>
      <c r="M240" s="38"/>
      <c r="N240" s="38"/>
      <c r="O240" s="38"/>
      <c r="P240" s="38"/>
      <c r="Q240" s="38"/>
    </row>
    <row r="241" spans="1:17" s="32" customFormat="1">
      <c r="A241" s="38"/>
      <c r="B241" s="38"/>
      <c r="C241" s="38"/>
      <c r="D241" s="38"/>
      <c r="E241" s="38"/>
      <c r="F241" s="38"/>
      <c r="G241" s="38"/>
      <c r="H241" s="43"/>
      <c r="I241" s="43"/>
      <c r="J241" s="38"/>
      <c r="K241" s="38"/>
      <c r="L241" s="38"/>
      <c r="M241" s="38"/>
      <c r="N241" s="38"/>
      <c r="O241" s="38"/>
      <c r="P241" s="38"/>
      <c r="Q241" s="38"/>
    </row>
    <row r="242" spans="1:17" s="32" customFormat="1">
      <c r="A242" s="38"/>
      <c r="B242" s="38"/>
      <c r="C242" s="38"/>
      <c r="D242" s="38"/>
      <c r="E242" s="38"/>
      <c r="F242" s="38"/>
      <c r="G242" s="38"/>
      <c r="H242" s="43"/>
      <c r="I242" s="43"/>
      <c r="J242" s="38"/>
      <c r="K242" s="38"/>
      <c r="L242" s="38"/>
      <c r="M242" s="38"/>
      <c r="N242" s="38"/>
      <c r="O242" s="38"/>
      <c r="P242" s="38"/>
      <c r="Q242" s="38"/>
    </row>
    <row r="243" spans="1:17" s="32" customFormat="1">
      <c r="A243" s="38"/>
      <c r="B243" s="38"/>
      <c r="C243" s="38"/>
      <c r="D243" s="38"/>
      <c r="E243" s="38"/>
      <c r="F243" s="38"/>
      <c r="G243" s="38"/>
      <c r="H243" s="43"/>
      <c r="I243" s="43"/>
      <c r="J243" s="38"/>
      <c r="K243" s="38"/>
      <c r="L243" s="38"/>
      <c r="M243" s="38"/>
      <c r="N243" s="38"/>
      <c r="O243" s="38"/>
      <c r="P243" s="38"/>
      <c r="Q243" s="38"/>
    </row>
    <row r="244" spans="1:17" s="32" customFormat="1">
      <c r="A244" s="38"/>
      <c r="B244" s="38"/>
      <c r="C244" s="38"/>
      <c r="D244" s="38"/>
      <c r="E244" s="38"/>
      <c r="F244" s="38"/>
      <c r="G244" s="38"/>
      <c r="H244" s="43"/>
      <c r="I244" s="43"/>
      <c r="J244" s="38"/>
      <c r="K244" s="38"/>
      <c r="L244" s="38"/>
      <c r="M244" s="38"/>
      <c r="N244" s="38"/>
      <c r="O244" s="38"/>
      <c r="P244" s="38"/>
      <c r="Q244" s="38"/>
    </row>
    <row r="245" spans="1:17" s="32" customFormat="1">
      <c r="A245" s="38"/>
      <c r="B245" s="38"/>
      <c r="C245" s="38"/>
      <c r="D245" s="38"/>
      <c r="E245" s="38"/>
      <c r="F245" s="38"/>
      <c r="G245" s="38"/>
      <c r="H245" s="43"/>
      <c r="I245" s="43"/>
      <c r="J245" s="38"/>
      <c r="K245" s="38"/>
      <c r="L245" s="38"/>
      <c r="M245" s="38"/>
      <c r="N245" s="38"/>
      <c r="O245" s="38"/>
      <c r="P245" s="38"/>
      <c r="Q245" s="38"/>
    </row>
    <row r="246" spans="1:17" s="32" customFormat="1">
      <c r="A246" s="38"/>
      <c r="B246" s="38"/>
      <c r="C246" s="38"/>
      <c r="D246" s="38"/>
      <c r="E246" s="38"/>
      <c r="F246" s="38"/>
      <c r="G246" s="38"/>
      <c r="H246" s="43"/>
      <c r="I246" s="43"/>
      <c r="J246" s="38"/>
      <c r="K246" s="38"/>
      <c r="L246" s="38"/>
      <c r="M246" s="38"/>
      <c r="N246" s="38"/>
      <c r="O246" s="38"/>
      <c r="P246" s="38"/>
      <c r="Q246" s="38"/>
    </row>
    <row r="247" spans="1:17" s="32" customFormat="1">
      <c r="A247" s="38"/>
      <c r="B247" s="38"/>
      <c r="C247" s="38"/>
      <c r="D247" s="38"/>
      <c r="E247" s="38"/>
      <c r="F247" s="38"/>
      <c r="G247" s="38"/>
      <c r="H247" s="43"/>
      <c r="I247" s="43"/>
      <c r="J247" s="38"/>
      <c r="K247" s="38"/>
      <c r="L247" s="38"/>
      <c r="M247" s="38"/>
      <c r="N247" s="38"/>
      <c r="O247" s="38"/>
      <c r="P247" s="38"/>
      <c r="Q247" s="38"/>
    </row>
    <row r="248" spans="1:17" s="32" customFormat="1">
      <c r="A248" s="38"/>
      <c r="B248" s="38"/>
      <c r="C248" s="38"/>
      <c r="D248" s="38"/>
      <c r="E248" s="38"/>
      <c r="F248" s="38"/>
      <c r="G248" s="38"/>
      <c r="H248" s="43"/>
      <c r="I248" s="43"/>
      <c r="J248" s="38"/>
      <c r="K248" s="38"/>
      <c r="L248" s="38"/>
      <c r="M248" s="38"/>
      <c r="N248" s="38"/>
      <c r="O248" s="38"/>
      <c r="P248" s="38"/>
      <c r="Q248" s="38"/>
    </row>
    <row r="249" spans="1:17" s="32" customFormat="1">
      <c r="A249" s="38"/>
      <c r="B249" s="38"/>
      <c r="C249" s="38"/>
      <c r="D249" s="38"/>
      <c r="E249" s="38"/>
      <c r="F249" s="38"/>
      <c r="G249" s="38"/>
      <c r="H249" s="43"/>
      <c r="I249" s="43"/>
      <c r="J249" s="38"/>
      <c r="K249" s="38"/>
      <c r="L249" s="38"/>
      <c r="M249" s="38"/>
      <c r="N249" s="38"/>
      <c r="O249" s="38"/>
      <c r="P249" s="38"/>
      <c r="Q249" s="38"/>
    </row>
    <row r="250" spans="1:17" s="32" customFormat="1">
      <c r="A250" s="38"/>
      <c r="B250" s="38"/>
      <c r="C250" s="38"/>
      <c r="D250" s="38"/>
      <c r="E250" s="38"/>
      <c r="F250" s="38"/>
      <c r="G250" s="38"/>
      <c r="H250" s="43"/>
      <c r="I250" s="43"/>
      <c r="J250" s="38"/>
      <c r="K250" s="38"/>
      <c r="L250" s="38"/>
      <c r="M250" s="38"/>
      <c r="N250" s="38"/>
      <c r="O250" s="38"/>
      <c r="P250" s="38"/>
      <c r="Q250" s="38"/>
    </row>
    <row r="251" spans="1:17" s="32" customFormat="1">
      <c r="A251" s="38"/>
      <c r="B251" s="38"/>
      <c r="C251" s="38"/>
      <c r="D251" s="38"/>
      <c r="E251" s="38"/>
      <c r="F251" s="38"/>
      <c r="G251" s="38"/>
      <c r="H251" s="43"/>
      <c r="I251" s="43"/>
      <c r="J251" s="38"/>
      <c r="K251" s="38"/>
      <c r="L251" s="38"/>
      <c r="M251" s="38"/>
      <c r="N251" s="38"/>
      <c r="O251" s="38"/>
      <c r="P251" s="38"/>
      <c r="Q251" s="38"/>
    </row>
    <row r="252" spans="1:17" s="32" customFormat="1">
      <c r="A252" s="38"/>
      <c r="B252" s="38"/>
      <c r="C252" s="38"/>
      <c r="D252" s="38"/>
      <c r="E252" s="38"/>
      <c r="F252" s="38"/>
      <c r="G252" s="38"/>
      <c r="H252" s="43"/>
      <c r="I252" s="43"/>
      <c r="J252" s="38"/>
      <c r="K252" s="38"/>
      <c r="L252" s="38"/>
      <c r="M252" s="38"/>
      <c r="N252" s="38"/>
      <c r="O252" s="38"/>
      <c r="P252" s="38"/>
      <c r="Q252" s="38"/>
    </row>
    <row r="253" spans="1:17" s="32" customFormat="1">
      <c r="A253" s="38"/>
      <c r="B253" s="38"/>
      <c r="C253" s="38"/>
      <c r="D253" s="38"/>
      <c r="E253" s="38"/>
      <c r="F253" s="38"/>
      <c r="G253" s="38"/>
      <c r="H253" s="43"/>
      <c r="I253" s="43"/>
      <c r="J253" s="38"/>
      <c r="K253" s="38"/>
      <c r="L253" s="38"/>
      <c r="M253" s="38"/>
      <c r="N253" s="38"/>
      <c r="O253" s="38"/>
      <c r="P253" s="38"/>
      <c r="Q253" s="38"/>
    </row>
    <row r="254" spans="1:17" s="32" customFormat="1">
      <c r="A254" s="38"/>
      <c r="B254" s="38"/>
      <c r="C254" s="38"/>
      <c r="D254" s="38"/>
      <c r="E254" s="38"/>
      <c r="F254" s="38"/>
      <c r="G254" s="38"/>
      <c r="H254" s="43"/>
      <c r="I254" s="43"/>
      <c r="J254" s="38"/>
      <c r="K254" s="38"/>
      <c r="L254" s="38"/>
      <c r="M254" s="38"/>
      <c r="N254" s="38"/>
      <c r="O254" s="38"/>
      <c r="P254" s="38"/>
      <c r="Q254" s="38"/>
    </row>
    <row r="255" spans="1:17" s="32" customFormat="1">
      <c r="A255" s="38"/>
      <c r="B255" s="38"/>
      <c r="C255" s="38"/>
      <c r="D255" s="38"/>
      <c r="E255" s="38"/>
      <c r="F255" s="38"/>
      <c r="G255" s="38"/>
      <c r="H255" s="43"/>
      <c r="I255" s="43"/>
      <c r="J255" s="38"/>
      <c r="K255" s="38"/>
      <c r="L255" s="38"/>
      <c r="M255" s="38"/>
      <c r="N255" s="38"/>
      <c r="O255" s="38"/>
      <c r="P255" s="38"/>
      <c r="Q255" s="38"/>
    </row>
    <row r="256" spans="1:17" s="32" customFormat="1">
      <c r="A256" s="38"/>
      <c r="B256" s="38"/>
      <c r="C256" s="38"/>
      <c r="D256" s="38"/>
      <c r="E256" s="38"/>
      <c r="F256" s="38"/>
      <c r="G256" s="38"/>
      <c r="H256" s="43"/>
      <c r="I256" s="43"/>
      <c r="J256" s="38"/>
      <c r="K256" s="38"/>
      <c r="L256" s="38"/>
      <c r="M256" s="38"/>
      <c r="N256" s="38"/>
      <c r="O256" s="38"/>
      <c r="P256" s="38"/>
      <c r="Q256" s="38"/>
    </row>
    <row r="257" spans="1:17" s="32" customFormat="1">
      <c r="A257" s="38"/>
      <c r="B257" s="38"/>
      <c r="C257" s="38"/>
      <c r="D257" s="38"/>
      <c r="E257" s="38"/>
      <c r="F257" s="38"/>
      <c r="G257" s="38"/>
      <c r="H257" s="43"/>
      <c r="I257" s="43"/>
      <c r="J257" s="38"/>
      <c r="K257" s="38"/>
      <c r="L257" s="38"/>
      <c r="M257" s="38"/>
      <c r="N257" s="38"/>
      <c r="O257" s="38"/>
      <c r="P257" s="38"/>
      <c r="Q257" s="38"/>
    </row>
    <row r="258" spans="1:17" s="32" customFormat="1">
      <c r="A258" s="38"/>
      <c r="B258" s="38"/>
      <c r="C258" s="38"/>
      <c r="D258" s="38"/>
      <c r="E258" s="38"/>
      <c r="F258" s="38"/>
      <c r="G258" s="38"/>
      <c r="H258" s="43"/>
      <c r="I258" s="43"/>
      <c r="J258" s="38"/>
      <c r="K258" s="38"/>
      <c r="L258" s="38"/>
      <c r="M258" s="38"/>
      <c r="N258" s="38"/>
      <c r="O258" s="38"/>
      <c r="P258" s="38"/>
      <c r="Q258" s="38"/>
    </row>
    <row r="259" spans="1:17" s="32" customFormat="1">
      <c r="A259" s="38"/>
      <c r="B259" s="38"/>
      <c r="C259" s="38"/>
      <c r="D259" s="38"/>
      <c r="E259" s="38"/>
      <c r="F259" s="38"/>
      <c r="G259" s="38"/>
      <c r="H259" s="43"/>
      <c r="I259" s="43"/>
      <c r="J259" s="38"/>
      <c r="K259" s="38"/>
      <c r="L259" s="38"/>
      <c r="M259" s="38"/>
      <c r="N259" s="38"/>
      <c r="O259" s="38"/>
      <c r="P259" s="38"/>
      <c r="Q259" s="38"/>
    </row>
    <row r="260" spans="1:17" s="32" customFormat="1">
      <c r="A260" s="38"/>
      <c r="B260" s="38"/>
      <c r="C260" s="38"/>
      <c r="D260" s="38"/>
      <c r="E260" s="38"/>
      <c r="F260" s="38"/>
      <c r="G260" s="38"/>
      <c r="H260" s="43"/>
      <c r="I260" s="43"/>
      <c r="J260" s="38"/>
      <c r="K260" s="38"/>
      <c r="L260" s="38"/>
      <c r="M260" s="38"/>
      <c r="N260" s="38"/>
      <c r="O260" s="38"/>
      <c r="P260" s="38"/>
      <c r="Q260" s="38"/>
    </row>
    <row r="261" spans="1:17" s="32" customFormat="1">
      <c r="A261" s="38"/>
      <c r="B261" s="38"/>
      <c r="C261" s="38"/>
      <c r="D261" s="38"/>
      <c r="E261" s="38"/>
      <c r="F261" s="38"/>
      <c r="G261" s="38"/>
      <c r="H261" s="43"/>
      <c r="I261" s="43"/>
      <c r="J261" s="38"/>
      <c r="K261" s="38"/>
      <c r="L261" s="38"/>
      <c r="M261" s="38"/>
      <c r="N261" s="38"/>
      <c r="O261" s="38"/>
      <c r="P261" s="38"/>
      <c r="Q261" s="38"/>
    </row>
    <row r="262" spans="1:17" s="32" customFormat="1">
      <c r="A262" s="38"/>
      <c r="B262" s="38"/>
      <c r="C262" s="38"/>
      <c r="D262" s="38"/>
      <c r="E262" s="38"/>
      <c r="F262" s="38"/>
      <c r="G262" s="38"/>
      <c r="H262" s="43"/>
      <c r="I262" s="43"/>
      <c r="J262" s="38"/>
      <c r="K262" s="38"/>
      <c r="L262" s="38"/>
      <c r="M262" s="38"/>
      <c r="N262" s="38"/>
      <c r="O262" s="38"/>
      <c r="P262" s="38"/>
      <c r="Q262" s="38"/>
    </row>
    <row r="263" spans="1:17" s="32" customFormat="1">
      <c r="A263" s="38"/>
      <c r="B263" s="38"/>
      <c r="C263" s="38"/>
      <c r="D263" s="38"/>
      <c r="E263" s="38"/>
      <c r="F263" s="38"/>
      <c r="G263" s="38"/>
      <c r="H263" s="43"/>
      <c r="I263" s="43"/>
      <c r="J263" s="38"/>
      <c r="K263" s="38"/>
      <c r="L263" s="38"/>
      <c r="M263" s="38"/>
      <c r="N263" s="38"/>
      <c r="O263" s="38"/>
      <c r="P263" s="38"/>
      <c r="Q263" s="38"/>
    </row>
    <row r="264" spans="1:17" s="32" customFormat="1">
      <c r="A264" s="38"/>
      <c r="B264" s="38"/>
      <c r="C264" s="38"/>
      <c r="D264" s="38"/>
      <c r="E264" s="38"/>
      <c r="F264" s="38"/>
      <c r="G264" s="38"/>
      <c r="H264" s="43"/>
      <c r="I264" s="43"/>
      <c r="J264" s="38"/>
      <c r="K264" s="38"/>
      <c r="L264" s="38"/>
      <c r="M264" s="38"/>
      <c r="N264" s="38"/>
      <c r="O264" s="38"/>
      <c r="P264" s="38"/>
      <c r="Q264" s="38"/>
    </row>
    <row r="265" spans="1:17" s="32" customFormat="1">
      <c r="A265" s="38"/>
      <c r="B265" s="38"/>
      <c r="C265" s="38"/>
      <c r="D265" s="38"/>
      <c r="E265" s="38"/>
      <c r="F265" s="38"/>
      <c r="G265" s="38"/>
      <c r="H265" s="43"/>
      <c r="I265" s="43"/>
      <c r="J265" s="38"/>
      <c r="K265" s="38"/>
      <c r="L265" s="38"/>
      <c r="M265" s="38"/>
      <c r="N265" s="38"/>
      <c r="O265" s="38"/>
      <c r="P265" s="38"/>
      <c r="Q265" s="38"/>
    </row>
    <row r="266" spans="1:17" s="32" customFormat="1">
      <c r="A266" s="38"/>
      <c r="B266" s="38"/>
      <c r="C266" s="38"/>
      <c r="D266" s="38"/>
      <c r="E266" s="38"/>
      <c r="F266" s="38"/>
      <c r="G266" s="38"/>
      <c r="H266" s="43"/>
      <c r="I266" s="43"/>
      <c r="J266" s="38"/>
      <c r="K266" s="38"/>
      <c r="L266" s="38"/>
      <c r="M266" s="38"/>
      <c r="N266" s="38"/>
      <c r="O266" s="38"/>
      <c r="P266" s="38"/>
      <c r="Q266" s="38"/>
    </row>
    <row r="267" spans="1:17" s="32" customFormat="1">
      <c r="A267" s="38"/>
      <c r="B267" s="38"/>
      <c r="C267" s="38"/>
      <c r="D267" s="38"/>
      <c r="E267" s="38"/>
      <c r="F267" s="38"/>
      <c r="G267" s="38"/>
      <c r="H267" s="43"/>
      <c r="I267" s="43"/>
      <c r="J267" s="38"/>
      <c r="K267" s="38"/>
      <c r="L267" s="38"/>
      <c r="M267" s="38"/>
      <c r="N267" s="38"/>
      <c r="O267" s="38"/>
      <c r="P267" s="38"/>
      <c r="Q267" s="38"/>
    </row>
    <row r="268" spans="1:17" s="32" customFormat="1">
      <c r="A268" s="38"/>
      <c r="B268" s="38"/>
      <c r="C268" s="38"/>
      <c r="D268" s="38"/>
      <c r="E268" s="38"/>
      <c r="F268" s="38"/>
      <c r="G268" s="38"/>
      <c r="H268" s="43"/>
      <c r="I268" s="43"/>
      <c r="J268" s="38"/>
      <c r="K268" s="38"/>
      <c r="L268" s="38"/>
      <c r="M268" s="38"/>
      <c r="N268" s="38"/>
      <c r="O268" s="38"/>
      <c r="P268" s="38"/>
      <c r="Q268" s="38"/>
    </row>
    <row r="269" spans="1:17" s="32" customFormat="1">
      <c r="A269" s="38"/>
      <c r="B269" s="38"/>
      <c r="C269" s="38"/>
      <c r="D269" s="38"/>
      <c r="E269" s="38"/>
      <c r="F269" s="38"/>
      <c r="G269" s="38"/>
      <c r="H269" s="43"/>
      <c r="I269" s="43"/>
      <c r="J269" s="38"/>
      <c r="K269" s="38"/>
      <c r="L269" s="38"/>
      <c r="M269" s="38"/>
      <c r="N269" s="38"/>
      <c r="O269" s="38"/>
      <c r="P269" s="38"/>
      <c r="Q269" s="38"/>
    </row>
    <row r="270" spans="1:17" s="32" customFormat="1">
      <c r="A270" s="38"/>
      <c r="B270" s="38"/>
      <c r="C270" s="38"/>
      <c r="D270" s="38"/>
      <c r="E270" s="38"/>
      <c r="F270" s="38"/>
      <c r="G270" s="38"/>
      <c r="H270" s="43"/>
      <c r="I270" s="43"/>
      <c r="J270" s="38"/>
      <c r="K270" s="38"/>
      <c r="L270" s="38"/>
      <c r="M270" s="38"/>
      <c r="N270" s="38"/>
      <c r="O270" s="38"/>
      <c r="P270" s="38"/>
      <c r="Q270" s="38"/>
    </row>
    <row r="271" spans="1:17" s="32" customFormat="1">
      <c r="A271" s="38"/>
      <c r="B271" s="38"/>
      <c r="C271" s="38"/>
      <c r="D271" s="38"/>
      <c r="E271" s="38"/>
      <c r="F271" s="38"/>
      <c r="G271" s="38"/>
      <c r="H271" s="43"/>
      <c r="I271" s="43"/>
      <c r="J271" s="38"/>
      <c r="K271" s="38"/>
      <c r="L271" s="38"/>
      <c r="M271" s="38"/>
      <c r="N271" s="38"/>
      <c r="O271" s="38"/>
      <c r="P271" s="38"/>
      <c r="Q271" s="38"/>
    </row>
    <row r="272" spans="1:17" s="32" customFormat="1">
      <c r="A272" s="38"/>
      <c r="B272" s="38"/>
      <c r="C272" s="38"/>
      <c r="D272" s="38"/>
      <c r="E272" s="38"/>
      <c r="F272" s="38"/>
      <c r="G272" s="38"/>
      <c r="H272" s="43"/>
      <c r="I272" s="43"/>
      <c r="J272" s="38"/>
      <c r="K272" s="38"/>
      <c r="L272" s="38"/>
      <c r="M272" s="38"/>
      <c r="N272" s="38"/>
      <c r="O272" s="38"/>
      <c r="P272" s="38"/>
      <c r="Q272" s="38"/>
    </row>
    <row r="273" spans="1:17" s="32" customFormat="1">
      <c r="A273" s="38"/>
      <c r="B273" s="38"/>
      <c r="C273" s="38"/>
      <c r="D273" s="38"/>
      <c r="E273" s="38"/>
      <c r="F273" s="38"/>
      <c r="G273" s="38"/>
      <c r="H273" s="43"/>
      <c r="I273" s="43"/>
      <c r="J273" s="38"/>
      <c r="K273" s="38"/>
      <c r="L273" s="38"/>
      <c r="M273" s="38"/>
      <c r="N273" s="38"/>
      <c r="O273" s="38"/>
      <c r="P273" s="38"/>
      <c r="Q273" s="38"/>
    </row>
    <row r="274" spans="1:17" s="32" customFormat="1">
      <c r="A274" s="38"/>
      <c r="B274" s="38"/>
      <c r="C274" s="38"/>
      <c r="D274" s="38"/>
      <c r="E274" s="38"/>
      <c r="F274" s="38"/>
      <c r="G274" s="38"/>
      <c r="H274" s="43"/>
      <c r="I274" s="43"/>
      <c r="J274" s="38"/>
      <c r="K274" s="38"/>
      <c r="L274" s="38"/>
      <c r="M274" s="38"/>
      <c r="N274" s="38"/>
      <c r="O274" s="38"/>
      <c r="P274" s="38"/>
      <c r="Q274" s="38"/>
    </row>
    <row r="275" spans="1:17" s="32" customFormat="1">
      <c r="A275" s="38"/>
      <c r="B275" s="38"/>
      <c r="C275" s="38"/>
      <c r="D275" s="38"/>
      <c r="E275" s="38"/>
      <c r="F275" s="38"/>
      <c r="G275" s="38"/>
      <c r="H275" s="43"/>
      <c r="I275" s="43"/>
      <c r="J275" s="38"/>
      <c r="K275" s="38"/>
      <c r="L275" s="38"/>
      <c r="M275" s="38"/>
      <c r="N275" s="38"/>
      <c r="O275" s="38"/>
      <c r="P275" s="38"/>
      <c r="Q275" s="38"/>
    </row>
    <row r="276" spans="1:17" s="32" customFormat="1">
      <c r="A276" s="38"/>
      <c r="B276" s="38"/>
      <c r="C276" s="38"/>
      <c r="D276" s="38"/>
      <c r="E276" s="38"/>
      <c r="F276" s="38"/>
      <c r="G276" s="38"/>
      <c r="H276" s="43"/>
      <c r="I276" s="43"/>
      <c r="J276" s="38"/>
      <c r="K276" s="38"/>
      <c r="L276" s="38"/>
      <c r="M276" s="38"/>
      <c r="N276" s="38"/>
      <c r="O276" s="38"/>
      <c r="P276" s="38"/>
      <c r="Q276" s="38"/>
    </row>
    <row r="277" spans="1:17" s="32" customFormat="1">
      <c r="A277" s="38"/>
      <c r="B277" s="38"/>
      <c r="C277" s="38"/>
      <c r="D277" s="38"/>
      <c r="E277" s="38"/>
      <c r="F277" s="38"/>
      <c r="G277" s="38"/>
      <c r="H277" s="43"/>
      <c r="I277" s="43"/>
      <c r="J277" s="38"/>
      <c r="K277" s="38"/>
      <c r="L277" s="38"/>
      <c r="M277" s="38"/>
      <c r="N277" s="38"/>
      <c r="O277" s="38"/>
      <c r="P277" s="38"/>
      <c r="Q277" s="38"/>
    </row>
    <row r="278" spans="1:17" s="32" customFormat="1">
      <c r="A278" s="38"/>
      <c r="B278" s="38"/>
      <c r="C278" s="38"/>
      <c r="D278" s="38"/>
      <c r="E278" s="38"/>
      <c r="F278" s="38"/>
      <c r="G278" s="38"/>
      <c r="H278" s="43"/>
      <c r="I278" s="43"/>
      <c r="J278" s="38"/>
      <c r="K278" s="38"/>
      <c r="L278" s="38"/>
      <c r="M278" s="38"/>
      <c r="N278" s="38"/>
      <c r="O278" s="38"/>
      <c r="P278" s="38"/>
      <c r="Q278" s="38"/>
    </row>
    <row r="279" spans="1:17" s="32" customFormat="1">
      <c r="A279" s="38"/>
      <c r="B279" s="38"/>
      <c r="C279" s="38"/>
      <c r="D279" s="38"/>
      <c r="E279" s="38"/>
      <c r="F279" s="38"/>
      <c r="G279" s="38"/>
      <c r="H279" s="43"/>
      <c r="I279" s="43"/>
      <c r="J279" s="38"/>
      <c r="K279" s="38"/>
      <c r="L279" s="38"/>
      <c r="M279" s="38"/>
      <c r="N279" s="38"/>
      <c r="O279" s="38"/>
      <c r="P279" s="38"/>
      <c r="Q279" s="38"/>
    </row>
    <row r="280" spans="1:17" s="32" customFormat="1">
      <c r="A280" s="38"/>
      <c r="B280" s="38"/>
      <c r="C280" s="38"/>
      <c r="D280" s="38"/>
      <c r="E280" s="38"/>
      <c r="F280" s="38"/>
      <c r="G280" s="38"/>
      <c r="H280" s="43"/>
      <c r="I280" s="43"/>
      <c r="J280" s="38"/>
      <c r="K280" s="38"/>
      <c r="L280" s="38"/>
      <c r="M280" s="38"/>
      <c r="N280" s="38"/>
      <c r="O280" s="38"/>
      <c r="P280" s="38"/>
      <c r="Q280" s="38"/>
    </row>
    <row r="281" spans="1:17" s="32" customFormat="1">
      <c r="A281" s="38"/>
      <c r="B281" s="38"/>
      <c r="C281" s="38"/>
      <c r="D281" s="38"/>
      <c r="E281" s="38"/>
      <c r="F281" s="38"/>
      <c r="G281" s="38"/>
      <c r="H281" s="43"/>
      <c r="I281" s="43"/>
      <c r="J281" s="38"/>
      <c r="K281" s="38"/>
      <c r="L281" s="38"/>
      <c r="M281" s="38"/>
      <c r="N281" s="38"/>
      <c r="O281" s="38"/>
      <c r="P281" s="38"/>
      <c r="Q281" s="38"/>
    </row>
    <row r="282" spans="1:17" s="32" customFormat="1">
      <c r="A282" s="38"/>
      <c r="B282" s="38"/>
      <c r="C282" s="38"/>
      <c r="D282" s="38"/>
      <c r="E282" s="38"/>
      <c r="F282" s="38"/>
      <c r="G282" s="38"/>
      <c r="H282" s="43"/>
      <c r="I282" s="43"/>
      <c r="J282" s="38"/>
      <c r="K282" s="38"/>
      <c r="L282" s="38"/>
      <c r="M282" s="38"/>
      <c r="N282" s="38"/>
      <c r="O282" s="38"/>
      <c r="P282" s="38"/>
      <c r="Q282" s="38"/>
    </row>
    <row r="283" spans="1:17" s="32" customFormat="1">
      <c r="A283" s="38"/>
      <c r="B283" s="38"/>
      <c r="C283" s="38"/>
      <c r="D283" s="38"/>
      <c r="E283" s="38"/>
      <c r="F283" s="38"/>
      <c r="G283" s="38"/>
      <c r="H283" s="43"/>
      <c r="I283" s="43"/>
      <c r="J283" s="38"/>
      <c r="K283" s="38"/>
      <c r="L283" s="38"/>
      <c r="M283" s="38"/>
      <c r="N283" s="38"/>
      <c r="O283" s="38"/>
      <c r="P283" s="38"/>
      <c r="Q283" s="38"/>
    </row>
    <row r="284" spans="1:17" s="32" customFormat="1">
      <c r="A284" s="38"/>
      <c r="B284" s="38"/>
      <c r="C284" s="38"/>
      <c r="D284" s="38"/>
      <c r="E284" s="38"/>
      <c r="F284" s="38"/>
      <c r="G284" s="38"/>
      <c r="H284" s="43"/>
      <c r="I284" s="43"/>
      <c r="J284" s="38"/>
      <c r="K284" s="38"/>
      <c r="L284" s="38"/>
      <c r="M284" s="38"/>
      <c r="N284" s="38"/>
      <c r="O284" s="38"/>
      <c r="P284" s="38"/>
      <c r="Q284" s="38"/>
    </row>
    <row r="285" spans="1:17" s="32" customFormat="1">
      <c r="A285" s="38"/>
      <c r="B285" s="38"/>
      <c r="C285" s="38"/>
      <c r="D285" s="38"/>
      <c r="E285" s="38"/>
      <c r="F285" s="38"/>
      <c r="G285" s="38"/>
      <c r="H285" s="43"/>
      <c r="I285" s="43"/>
      <c r="J285" s="38"/>
      <c r="K285" s="38"/>
      <c r="L285" s="38"/>
      <c r="M285" s="38"/>
      <c r="N285" s="38"/>
      <c r="O285" s="38"/>
      <c r="P285" s="38"/>
      <c r="Q285" s="38"/>
    </row>
    <row r="286" spans="1:17" s="32" customFormat="1">
      <c r="A286" s="38"/>
      <c r="B286" s="38"/>
      <c r="C286" s="38"/>
      <c r="D286" s="38"/>
      <c r="E286" s="38"/>
      <c r="F286" s="38"/>
      <c r="G286" s="38"/>
      <c r="H286" s="43"/>
      <c r="I286" s="43"/>
      <c r="J286" s="38"/>
      <c r="K286" s="38"/>
      <c r="L286" s="38"/>
      <c r="M286" s="38"/>
      <c r="N286" s="38"/>
      <c r="O286" s="38"/>
      <c r="P286" s="38"/>
      <c r="Q286" s="38"/>
    </row>
    <row r="287" spans="1:17" s="32" customFormat="1">
      <c r="A287" s="38"/>
      <c r="B287" s="38"/>
      <c r="C287" s="38"/>
      <c r="D287" s="38"/>
      <c r="E287" s="38"/>
      <c r="F287" s="38"/>
      <c r="G287" s="38"/>
      <c r="H287" s="43"/>
      <c r="I287" s="43"/>
      <c r="J287" s="38"/>
      <c r="K287" s="38"/>
      <c r="L287" s="38"/>
      <c r="M287" s="38"/>
      <c r="N287" s="38"/>
      <c r="O287" s="38"/>
      <c r="P287" s="38"/>
      <c r="Q287" s="38"/>
    </row>
    <row r="288" spans="1:17" s="32" customFormat="1">
      <c r="A288" s="38"/>
      <c r="B288" s="38"/>
      <c r="C288" s="38"/>
      <c r="D288" s="38"/>
      <c r="E288" s="38"/>
      <c r="F288" s="38"/>
      <c r="G288" s="38"/>
      <c r="H288" s="43"/>
      <c r="I288" s="43"/>
      <c r="J288" s="38"/>
      <c r="K288" s="38"/>
      <c r="L288" s="38"/>
      <c r="M288" s="38"/>
      <c r="N288" s="38"/>
      <c r="O288" s="38"/>
      <c r="P288" s="38"/>
      <c r="Q288" s="38"/>
    </row>
    <row r="289" spans="1:17" s="32" customFormat="1">
      <c r="A289" s="38"/>
      <c r="B289" s="38"/>
      <c r="C289" s="38"/>
      <c r="D289" s="38"/>
      <c r="E289" s="38"/>
      <c r="F289" s="38"/>
      <c r="G289" s="38"/>
      <c r="H289" s="43"/>
      <c r="I289" s="43"/>
      <c r="J289" s="38"/>
      <c r="K289" s="38"/>
      <c r="L289" s="38"/>
      <c r="M289" s="38"/>
      <c r="N289" s="38"/>
      <c r="O289" s="38"/>
      <c r="P289" s="38"/>
      <c r="Q289" s="38"/>
    </row>
    <row r="290" spans="1:17" s="32" customFormat="1">
      <c r="A290" s="38"/>
      <c r="B290" s="38"/>
      <c r="C290" s="38"/>
      <c r="D290" s="38"/>
      <c r="E290" s="38"/>
      <c r="F290" s="38"/>
      <c r="G290" s="38"/>
      <c r="H290" s="43"/>
      <c r="I290" s="43"/>
      <c r="J290" s="38"/>
      <c r="K290" s="38"/>
      <c r="L290" s="38"/>
      <c r="M290" s="38"/>
      <c r="N290" s="38"/>
      <c r="O290" s="38"/>
      <c r="P290" s="38"/>
      <c r="Q290" s="38"/>
    </row>
    <row r="291" spans="1:17" s="32" customFormat="1">
      <c r="A291" s="38"/>
      <c r="B291" s="38"/>
      <c r="C291" s="38"/>
      <c r="D291" s="38"/>
      <c r="E291" s="38"/>
      <c r="F291" s="38"/>
      <c r="G291" s="38"/>
      <c r="H291" s="43"/>
      <c r="I291" s="43"/>
      <c r="J291" s="38"/>
      <c r="K291" s="38"/>
      <c r="L291" s="38"/>
      <c r="M291" s="38"/>
      <c r="N291" s="38"/>
      <c r="O291" s="38"/>
      <c r="P291" s="38"/>
      <c r="Q291" s="38"/>
    </row>
    <row r="292" spans="1:17" s="32" customFormat="1">
      <c r="A292" s="38"/>
      <c r="B292" s="38"/>
      <c r="C292" s="38"/>
      <c r="D292" s="38"/>
      <c r="E292" s="38"/>
      <c r="F292" s="38"/>
      <c r="G292" s="38"/>
      <c r="H292" s="43"/>
      <c r="I292" s="43"/>
      <c r="J292" s="38"/>
      <c r="K292" s="38"/>
      <c r="L292" s="38"/>
      <c r="M292" s="38"/>
      <c r="N292" s="38"/>
      <c r="O292" s="38"/>
      <c r="P292" s="38"/>
      <c r="Q292" s="38"/>
    </row>
    <row r="293" spans="1:17" s="32" customFormat="1">
      <c r="A293" s="38"/>
      <c r="B293" s="38"/>
      <c r="C293" s="38"/>
      <c r="D293" s="38"/>
      <c r="E293" s="38"/>
      <c r="F293" s="38"/>
      <c r="G293" s="38"/>
      <c r="H293" s="43"/>
      <c r="I293" s="43"/>
      <c r="J293" s="38"/>
      <c r="K293" s="38"/>
      <c r="L293" s="38"/>
      <c r="M293" s="38"/>
      <c r="N293" s="38"/>
      <c r="O293" s="38"/>
      <c r="P293" s="38"/>
      <c r="Q293" s="38"/>
    </row>
    <row r="294" spans="1:17" s="32" customFormat="1">
      <c r="A294" s="38"/>
      <c r="B294" s="38"/>
      <c r="C294" s="38"/>
      <c r="D294" s="38"/>
      <c r="E294" s="38"/>
      <c r="F294" s="38"/>
      <c r="G294" s="38"/>
      <c r="H294" s="43"/>
      <c r="I294" s="43"/>
      <c r="J294" s="38"/>
      <c r="K294" s="38"/>
      <c r="L294" s="38"/>
      <c r="M294" s="38"/>
      <c r="N294" s="38"/>
      <c r="O294" s="38"/>
      <c r="P294" s="38"/>
      <c r="Q294" s="38"/>
    </row>
    <row r="295" spans="1:17" s="32" customFormat="1">
      <c r="A295" s="38"/>
      <c r="B295" s="38"/>
      <c r="C295" s="38"/>
      <c r="D295" s="38"/>
      <c r="E295" s="38"/>
      <c r="F295" s="38"/>
      <c r="G295" s="38"/>
      <c r="H295" s="43"/>
      <c r="I295" s="43"/>
      <c r="J295" s="38"/>
      <c r="K295" s="38"/>
      <c r="L295" s="38"/>
      <c r="M295" s="38"/>
      <c r="N295" s="38"/>
      <c r="O295" s="38"/>
      <c r="P295" s="38"/>
      <c r="Q295" s="38"/>
    </row>
    <row r="296" spans="1:17" s="32" customFormat="1">
      <c r="A296" s="38"/>
      <c r="B296" s="38"/>
      <c r="C296" s="38"/>
      <c r="D296" s="38"/>
      <c r="E296" s="38"/>
      <c r="F296" s="38"/>
      <c r="G296" s="38"/>
      <c r="H296" s="43"/>
      <c r="I296" s="43"/>
      <c r="J296" s="38"/>
      <c r="K296" s="38"/>
      <c r="L296" s="38"/>
      <c r="M296" s="38"/>
      <c r="N296" s="38"/>
      <c r="O296" s="38"/>
      <c r="P296" s="38"/>
      <c r="Q296" s="38"/>
    </row>
    <row r="297" spans="1:17" s="32" customFormat="1">
      <c r="A297" s="38"/>
      <c r="B297" s="38"/>
      <c r="C297" s="38"/>
      <c r="D297" s="38"/>
      <c r="E297" s="38"/>
      <c r="F297" s="38"/>
      <c r="G297" s="38"/>
      <c r="H297" s="43"/>
      <c r="I297" s="43"/>
      <c r="J297" s="38"/>
      <c r="K297" s="38"/>
      <c r="L297" s="38"/>
      <c r="M297" s="38"/>
      <c r="N297" s="38"/>
      <c r="O297" s="38"/>
      <c r="P297" s="38"/>
      <c r="Q297" s="38"/>
    </row>
    <row r="298" spans="1:17" s="32" customFormat="1">
      <c r="A298" s="38"/>
      <c r="B298" s="38"/>
      <c r="C298" s="38"/>
      <c r="D298" s="38"/>
      <c r="E298" s="38"/>
      <c r="F298" s="38"/>
      <c r="G298" s="38"/>
      <c r="H298" s="43"/>
      <c r="I298" s="43"/>
      <c r="J298" s="38"/>
      <c r="K298" s="38"/>
      <c r="L298" s="38"/>
      <c r="M298" s="38"/>
      <c r="N298" s="38"/>
      <c r="O298" s="38"/>
      <c r="P298" s="38"/>
      <c r="Q298" s="38"/>
    </row>
    <row r="299" spans="1:17" s="32" customFormat="1">
      <c r="A299" s="38"/>
      <c r="B299" s="38"/>
      <c r="C299" s="38"/>
      <c r="D299" s="38"/>
      <c r="E299" s="38"/>
      <c r="F299" s="38"/>
      <c r="G299" s="38"/>
      <c r="H299" s="43"/>
      <c r="I299" s="43"/>
      <c r="J299" s="38"/>
      <c r="K299" s="38"/>
      <c r="L299" s="38"/>
      <c r="M299" s="38"/>
      <c r="N299" s="38"/>
      <c r="O299" s="38"/>
      <c r="P299" s="38"/>
      <c r="Q299" s="38"/>
    </row>
    <row r="300" spans="1:17" s="32" customFormat="1">
      <c r="A300" s="38"/>
      <c r="B300" s="38"/>
      <c r="C300" s="38"/>
      <c r="D300" s="38"/>
      <c r="E300" s="38"/>
      <c r="F300" s="38"/>
      <c r="G300" s="38"/>
      <c r="H300" s="43"/>
      <c r="I300" s="43"/>
      <c r="J300" s="38"/>
      <c r="K300" s="38"/>
      <c r="L300" s="38"/>
      <c r="M300" s="38"/>
      <c r="N300" s="38"/>
      <c r="O300" s="38"/>
      <c r="P300" s="38"/>
      <c r="Q300" s="38"/>
    </row>
    <row r="301" spans="1:17" s="32" customFormat="1">
      <c r="A301" s="38"/>
      <c r="B301" s="38"/>
      <c r="C301" s="38"/>
      <c r="D301" s="38"/>
      <c r="E301" s="38"/>
      <c r="F301" s="38"/>
      <c r="G301" s="38"/>
      <c r="H301" s="43"/>
      <c r="I301" s="43"/>
      <c r="J301" s="38"/>
      <c r="K301" s="38"/>
      <c r="L301" s="38"/>
      <c r="M301" s="38"/>
      <c r="N301" s="38"/>
      <c r="O301" s="38"/>
      <c r="P301" s="38"/>
      <c r="Q301" s="38"/>
    </row>
    <row r="302" spans="1:17" s="32" customFormat="1">
      <c r="A302" s="38"/>
      <c r="B302" s="38"/>
      <c r="C302" s="38"/>
      <c r="D302" s="38"/>
      <c r="E302" s="38"/>
      <c r="F302" s="38"/>
      <c r="G302" s="38"/>
      <c r="H302" s="43"/>
      <c r="I302" s="43"/>
      <c r="J302" s="38"/>
      <c r="K302" s="38"/>
      <c r="L302" s="38"/>
      <c r="M302" s="38"/>
      <c r="N302" s="38"/>
      <c r="O302" s="38"/>
      <c r="P302" s="38"/>
      <c r="Q302" s="38"/>
    </row>
    <row r="303" spans="1:17" s="32" customFormat="1">
      <c r="A303" s="38"/>
      <c r="B303" s="38"/>
      <c r="C303" s="38"/>
      <c r="D303" s="38"/>
      <c r="E303" s="38"/>
      <c r="F303" s="38"/>
      <c r="G303" s="38"/>
      <c r="H303" s="43"/>
      <c r="I303" s="43"/>
      <c r="J303" s="38"/>
      <c r="K303" s="38"/>
      <c r="L303" s="38"/>
      <c r="M303" s="38"/>
      <c r="N303" s="38"/>
      <c r="O303" s="38"/>
      <c r="P303" s="38"/>
      <c r="Q303" s="38"/>
    </row>
    <row r="304" spans="1:17" s="32" customFormat="1">
      <c r="A304" s="38"/>
      <c r="B304" s="38"/>
      <c r="C304" s="38"/>
      <c r="D304" s="38"/>
      <c r="E304" s="38"/>
      <c r="F304" s="38"/>
      <c r="G304" s="38"/>
      <c r="H304" s="43"/>
      <c r="I304" s="43"/>
      <c r="J304" s="38"/>
      <c r="K304" s="38"/>
      <c r="L304" s="38"/>
      <c r="M304" s="38"/>
      <c r="N304" s="38"/>
      <c r="O304" s="38"/>
      <c r="P304" s="38"/>
      <c r="Q304" s="38"/>
    </row>
    <row r="305" spans="1:17" s="32" customFormat="1">
      <c r="A305" s="38"/>
      <c r="B305" s="38"/>
      <c r="C305" s="38"/>
      <c r="D305" s="38"/>
      <c r="E305" s="38"/>
      <c r="F305" s="38"/>
      <c r="G305" s="38"/>
      <c r="H305" s="43"/>
      <c r="I305" s="43"/>
      <c r="J305" s="38"/>
      <c r="K305" s="38"/>
      <c r="L305" s="38"/>
      <c r="M305" s="38"/>
      <c r="N305" s="38"/>
      <c r="O305" s="38"/>
      <c r="P305" s="38"/>
      <c r="Q305" s="38"/>
    </row>
    <row r="306" spans="1:17" s="32" customFormat="1">
      <c r="A306" s="38"/>
      <c r="B306" s="38"/>
      <c r="C306" s="38"/>
      <c r="D306" s="38"/>
      <c r="E306" s="38"/>
      <c r="F306" s="38"/>
      <c r="G306" s="38"/>
      <c r="H306" s="43"/>
      <c r="I306" s="43"/>
      <c r="J306" s="38"/>
      <c r="K306" s="38"/>
      <c r="L306" s="38"/>
      <c r="M306" s="38"/>
      <c r="N306" s="38"/>
      <c r="O306" s="38"/>
      <c r="P306" s="38"/>
      <c r="Q306" s="38"/>
    </row>
    <row r="307" spans="1:17" s="32" customFormat="1">
      <c r="A307" s="38"/>
      <c r="B307" s="38"/>
      <c r="C307" s="38"/>
      <c r="D307" s="38"/>
      <c r="E307" s="38"/>
      <c r="F307" s="38"/>
      <c r="G307" s="38"/>
      <c r="H307" s="43"/>
      <c r="I307" s="43"/>
      <c r="J307" s="38"/>
      <c r="K307" s="38"/>
      <c r="L307" s="38"/>
      <c r="M307" s="38"/>
      <c r="N307" s="38"/>
      <c r="O307" s="38"/>
      <c r="P307" s="38"/>
      <c r="Q307" s="38"/>
    </row>
    <row r="308" spans="1:17" s="32" customFormat="1">
      <c r="A308" s="38"/>
      <c r="B308" s="38"/>
      <c r="C308" s="38"/>
      <c r="D308" s="38"/>
      <c r="E308" s="38"/>
      <c r="F308" s="38"/>
      <c r="G308" s="38"/>
      <c r="H308" s="43"/>
      <c r="I308" s="43"/>
      <c r="J308" s="38"/>
      <c r="K308" s="38"/>
      <c r="L308" s="38"/>
      <c r="M308" s="38"/>
      <c r="N308" s="38"/>
      <c r="O308" s="38"/>
      <c r="P308" s="38"/>
      <c r="Q308" s="38"/>
    </row>
    <row r="309" spans="1:17" s="32" customFormat="1">
      <c r="A309" s="38"/>
      <c r="B309" s="38"/>
      <c r="C309" s="38"/>
      <c r="D309" s="38"/>
      <c r="E309" s="38"/>
      <c r="F309" s="38"/>
      <c r="G309" s="38"/>
      <c r="H309" s="43"/>
      <c r="I309" s="43"/>
      <c r="J309" s="38"/>
      <c r="K309" s="38"/>
      <c r="L309" s="38"/>
      <c r="M309" s="38"/>
      <c r="N309" s="38"/>
      <c r="O309" s="38"/>
      <c r="P309" s="38"/>
      <c r="Q309" s="38"/>
    </row>
    <row r="310" spans="1:17" s="32" customFormat="1">
      <c r="A310" s="38"/>
      <c r="B310" s="38"/>
      <c r="C310" s="38"/>
      <c r="D310" s="38"/>
      <c r="E310" s="38"/>
      <c r="F310" s="38"/>
      <c r="G310" s="38"/>
      <c r="H310" s="43"/>
      <c r="I310" s="43"/>
      <c r="J310" s="38"/>
      <c r="K310" s="38"/>
      <c r="L310" s="38"/>
      <c r="M310" s="38"/>
      <c r="N310" s="38"/>
      <c r="O310" s="38"/>
      <c r="P310" s="38"/>
      <c r="Q310" s="38"/>
    </row>
    <row r="311" spans="1:17" s="32" customFormat="1">
      <c r="A311" s="38"/>
      <c r="B311" s="38"/>
      <c r="C311" s="38"/>
      <c r="D311" s="38"/>
      <c r="E311" s="38"/>
      <c r="F311" s="38"/>
      <c r="G311" s="38"/>
      <c r="H311" s="43"/>
      <c r="I311" s="43"/>
      <c r="J311" s="38"/>
      <c r="K311" s="38"/>
      <c r="L311" s="38"/>
      <c r="M311" s="38"/>
      <c r="N311" s="38"/>
      <c r="O311" s="38"/>
      <c r="P311" s="38"/>
      <c r="Q311" s="38"/>
    </row>
    <row r="312" spans="1:17" s="32" customFormat="1">
      <c r="A312" s="38"/>
      <c r="B312" s="38"/>
      <c r="C312" s="38"/>
      <c r="D312" s="38"/>
      <c r="E312" s="38"/>
      <c r="F312" s="38"/>
      <c r="G312" s="38"/>
      <c r="H312" s="43"/>
      <c r="I312" s="43"/>
      <c r="J312" s="38"/>
      <c r="K312" s="38"/>
      <c r="L312" s="38"/>
      <c r="M312" s="38"/>
      <c r="N312" s="38"/>
      <c r="O312" s="38"/>
      <c r="P312" s="38"/>
      <c r="Q312" s="38"/>
    </row>
    <row r="313" spans="1:17" s="32" customFormat="1">
      <c r="A313" s="38"/>
      <c r="B313" s="38"/>
      <c r="C313" s="38"/>
      <c r="D313" s="38"/>
      <c r="E313" s="38"/>
      <c r="F313" s="38"/>
      <c r="G313" s="38"/>
      <c r="H313" s="43"/>
      <c r="I313" s="43"/>
      <c r="J313" s="38"/>
      <c r="K313" s="38"/>
      <c r="L313" s="38"/>
      <c r="M313" s="38"/>
      <c r="N313" s="38"/>
      <c r="O313" s="38"/>
      <c r="P313" s="38"/>
      <c r="Q313" s="38"/>
    </row>
    <row r="314" spans="1:17" s="32" customFormat="1">
      <c r="A314" s="38"/>
      <c r="B314" s="38"/>
      <c r="C314" s="38"/>
      <c r="D314" s="38"/>
      <c r="E314" s="38"/>
      <c r="F314" s="38"/>
      <c r="G314" s="38"/>
      <c r="H314" s="43"/>
      <c r="I314" s="43"/>
      <c r="J314" s="38"/>
      <c r="K314" s="38"/>
      <c r="L314" s="38"/>
      <c r="M314" s="38"/>
      <c r="N314" s="38"/>
      <c r="O314" s="38"/>
      <c r="P314" s="38"/>
      <c r="Q314" s="38"/>
    </row>
    <row r="315" spans="1:17" s="32" customFormat="1">
      <c r="A315" s="38"/>
      <c r="B315" s="38"/>
      <c r="C315" s="38"/>
      <c r="D315" s="38"/>
      <c r="E315" s="38"/>
      <c r="F315" s="38"/>
      <c r="G315" s="38"/>
      <c r="H315" s="43"/>
      <c r="I315" s="43"/>
      <c r="J315" s="38"/>
      <c r="K315" s="38"/>
      <c r="L315" s="38"/>
      <c r="M315" s="38"/>
      <c r="N315" s="38"/>
      <c r="O315" s="38"/>
      <c r="P315" s="38"/>
      <c r="Q315" s="38"/>
    </row>
    <row r="316" spans="1:17" s="32" customFormat="1">
      <c r="A316" s="38"/>
      <c r="B316" s="38"/>
      <c r="C316" s="38"/>
      <c r="D316" s="38"/>
      <c r="E316" s="38"/>
      <c r="F316" s="38"/>
      <c r="G316" s="38"/>
      <c r="H316" s="43"/>
      <c r="I316" s="43"/>
      <c r="J316" s="38"/>
      <c r="K316" s="38"/>
      <c r="L316" s="38"/>
      <c r="M316" s="38"/>
      <c r="N316" s="38"/>
      <c r="O316" s="38"/>
      <c r="P316" s="38"/>
      <c r="Q316" s="38"/>
    </row>
    <row r="317" spans="1:17" s="32" customFormat="1">
      <c r="A317" s="38"/>
      <c r="B317" s="38"/>
      <c r="C317" s="38"/>
      <c r="D317" s="38"/>
      <c r="E317" s="38"/>
      <c r="F317" s="38"/>
      <c r="G317" s="38"/>
      <c r="H317" s="43"/>
      <c r="I317" s="43"/>
      <c r="J317" s="38"/>
      <c r="K317" s="38"/>
      <c r="L317" s="38"/>
      <c r="M317" s="38"/>
      <c r="N317" s="38"/>
      <c r="O317" s="38"/>
      <c r="P317" s="38"/>
      <c r="Q317" s="38"/>
    </row>
    <row r="318" spans="1:17" s="32" customFormat="1">
      <c r="A318" s="38"/>
      <c r="B318" s="38"/>
      <c r="C318" s="38"/>
      <c r="D318" s="38"/>
      <c r="E318" s="38"/>
      <c r="F318" s="38"/>
      <c r="G318" s="38"/>
      <c r="H318" s="43"/>
      <c r="I318" s="43"/>
      <c r="J318" s="38"/>
      <c r="K318" s="38"/>
      <c r="L318" s="38"/>
      <c r="M318" s="38"/>
      <c r="N318" s="38"/>
      <c r="O318" s="38"/>
      <c r="P318" s="38"/>
      <c r="Q318" s="38"/>
    </row>
    <row r="319" spans="1:17" s="32" customFormat="1">
      <c r="A319" s="38"/>
      <c r="B319" s="38"/>
      <c r="C319" s="38"/>
      <c r="D319" s="38"/>
      <c r="E319" s="38"/>
      <c r="F319" s="38"/>
      <c r="G319" s="38"/>
      <c r="H319" s="43"/>
      <c r="I319" s="43"/>
      <c r="J319" s="38"/>
      <c r="K319" s="38"/>
      <c r="L319" s="38"/>
      <c r="M319" s="38"/>
      <c r="N319" s="38"/>
      <c r="O319" s="38"/>
      <c r="P319" s="38"/>
      <c r="Q319" s="38"/>
    </row>
    <row r="320" spans="1:17" s="32" customFormat="1">
      <c r="A320" s="38"/>
      <c r="B320" s="38"/>
      <c r="C320" s="38"/>
      <c r="D320" s="38"/>
      <c r="E320" s="38"/>
      <c r="F320" s="38"/>
      <c r="G320" s="38"/>
      <c r="H320" s="43"/>
      <c r="I320" s="43"/>
      <c r="J320" s="38"/>
      <c r="K320" s="38"/>
      <c r="L320" s="38"/>
      <c r="M320" s="38"/>
      <c r="N320" s="38"/>
      <c r="O320" s="38"/>
      <c r="P320" s="38"/>
      <c r="Q320" s="38"/>
    </row>
    <row r="321" spans="1:17" s="32" customFormat="1">
      <c r="A321" s="38"/>
      <c r="B321" s="38"/>
      <c r="C321" s="38"/>
      <c r="D321" s="38"/>
      <c r="E321" s="38"/>
      <c r="F321" s="38"/>
      <c r="G321" s="38"/>
      <c r="H321" s="43"/>
      <c r="I321" s="43"/>
      <c r="J321" s="38"/>
      <c r="K321" s="38"/>
      <c r="L321" s="38"/>
      <c r="M321" s="38"/>
      <c r="N321" s="38"/>
      <c r="O321" s="38"/>
      <c r="P321" s="38"/>
      <c r="Q321" s="38"/>
    </row>
    <row r="322" spans="1:17" s="32" customFormat="1">
      <c r="A322" s="38"/>
      <c r="B322" s="38"/>
      <c r="C322" s="38"/>
      <c r="D322" s="38"/>
      <c r="E322" s="38"/>
      <c r="F322" s="38"/>
      <c r="G322" s="38"/>
      <c r="H322" s="43"/>
      <c r="I322" s="43"/>
      <c r="J322" s="38"/>
      <c r="K322" s="38"/>
      <c r="L322" s="38"/>
      <c r="M322" s="38"/>
      <c r="N322" s="38"/>
      <c r="O322" s="38"/>
      <c r="P322" s="38"/>
      <c r="Q322" s="38"/>
    </row>
    <row r="323" spans="1:17" s="32" customFormat="1">
      <c r="A323" s="38"/>
      <c r="B323" s="38"/>
      <c r="C323" s="38"/>
      <c r="D323" s="38"/>
      <c r="E323" s="38"/>
      <c r="F323" s="38"/>
      <c r="G323" s="38"/>
      <c r="H323" s="43"/>
      <c r="I323" s="43"/>
      <c r="J323" s="38"/>
      <c r="K323" s="38"/>
      <c r="L323" s="38"/>
      <c r="M323" s="38"/>
      <c r="N323" s="38"/>
      <c r="O323" s="38"/>
      <c r="P323" s="38"/>
      <c r="Q323" s="38"/>
    </row>
    <row r="324" spans="1:17" s="32" customFormat="1">
      <c r="A324" s="38"/>
      <c r="B324" s="38"/>
      <c r="C324" s="38"/>
      <c r="D324" s="38"/>
      <c r="E324" s="38"/>
      <c r="F324" s="38"/>
      <c r="G324" s="38"/>
      <c r="H324" s="43"/>
      <c r="I324" s="43"/>
      <c r="J324" s="38"/>
      <c r="K324" s="38"/>
      <c r="L324" s="38"/>
      <c r="M324" s="38"/>
      <c r="N324" s="38"/>
      <c r="O324" s="38"/>
      <c r="P324" s="38"/>
      <c r="Q324" s="38"/>
    </row>
    <row r="325" spans="1:17" s="32" customFormat="1">
      <c r="A325" s="38"/>
      <c r="B325" s="38"/>
      <c r="C325" s="38"/>
      <c r="D325" s="38"/>
      <c r="E325" s="38"/>
      <c r="F325" s="38"/>
      <c r="G325" s="38"/>
      <c r="H325" s="43"/>
      <c r="I325" s="43"/>
      <c r="J325" s="38"/>
      <c r="K325" s="38"/>
      <c r="L325" s="38"/>
      <c r="M325" s="38"/>
      <c r="N325" s="38"/>
      <c r="O325" s="38"/>
      <c r="P325" s="38"/>
      <c r="Q325" s="38"/>
    </row>
    <row r="326" spans="1:17" s="32" customFormat="1">
      <c r="A326" s="38"/>
      <c r="B326" s="38"/>
      <c r="C326" s="38"/>
      <c r="D326" s="38"/>
      <c r="E326" s="38"/>
      <c r="F326" s="38"/>
      <c r="G326" s="38"/>
      <c r="H326" s="43"/>
      <c r="I326" s="43"/>
      <c r="J326" s="38"/>
      <c r="K326" s="38"/>
      <c r="L326" s="38"/>
      <c r="M326" s="38"/>
      <c r="N326" s="38"/>
      <c r="O326" s="38"/>
      <c r="P326" s="38"/>
      <c r="Q326" s="38"/>
    </row>
    <row r="327" spans="1:17" s="32" customFormat="1">
      <c r="A327" s="38"/>
      <c r="B327" s="38"/>
      <c r="C327" s="38"/>
      <c r="D327" s="38"/>
      <c r="E327" s="38"/>
      <c r="F327" s="38"/>
      <c r="G327" s="38"/>
      <c r="H327" s="43"/>
      <c r="I327" s="43"/>
      <c r="J327" s="38"/>
      <c r="K327" s="38"/>
      <c r="L327" s="38"/>
      <c r="M327" s="38"/>
      <c r="N327" s="38"/>
      <c r="O327" s="38"/>
      <c r="P327" s="38"/>
      <c r="Q327" s="38"/>
    </row>
    <row r="328" spans="1:17" s="32" customFormat="1">
      <c r="A328" s="38"/>
      <c r="B328" s="38"/>
      <c r="C328" s="38"/>
      <c r="D328" s="38"/>
      <c r="E328" s="38"/>
      <c r="F328" s="38"/>
      <c r="G328" s="38"/>
      <c r="H328" s="43"/>
      <c r="I328" s="43"/>
      <c r="J328" s="38"/>
      <c r="K328" s="38"/>
      <c r="L328" s="38"/>
      <c r="M328" s="38"/>
      <c r="N328" s="38"/>
      <c r="O328" s="38"/>
      <c r="P328" s="38"/>
      <c r="Q328" s="38"/>
    </row>
    <row r="329" spans="1:17" s="32" customFormat="1">
      <c r="A329" s="38"/>
      <c r="B329" s="38"/>
      <c r="C329" s="38"/>
      <c r="D329" s="38"/>
      <c r="E329" s="38"/>
      <c r="F329" s="38"/>
      <c r="G329" s="38"/>
      <c r="H329" s="43"/>
      <c r="I329" s="43"/>
      <c r="J329" s="38"/>
      <c r="K329" s="38"/>
      <c r="L329" s="38"/>
      <c r="M329" s="38"/>
      <c r="N329" s="38"/>
      <c r="O329" s="38"/>
      <c r="P329" s="38"/>
      <c r="Q329" s="38"/>
    </row>
    <row r="330" spans="1:17" s="32" customFormat="1">
      <c r="A330" s="38"/>
      <c r="B330" s="38"/>
      <c r="C330" s="38"/>
      <c r="D330" s="38"/>
      <c r="E330" s="38"/>
      <c r="F330" s="38"/>
      <c r="G330" s="38"/>
      <c r="H330" s="43"/>
      <c r="I330" s="43"/>
      <c r="J330" s="38"/>
      <c r="K330" s="38"/>
      <c r="L330" s="38"/>
      <c r="M330" s="38"/>
      <c r="N330" s="38"/>
      <c r="O330" s="38"/>
      <c r="P330" s="38"/>
      <c r="Q330" s="38"/>
    </row>
    <row r="331" spans="1:17" s="32" customFormat="1">
      <c r="A331" s="38"/>
      <c r="B331" s="38"/>
      <c r="C331" s="38"/>
      <c r="D331" s="38"/>
      <c r="E331" s="38"/>
      <c r="F331" s="38"/>
      <c r="G331" s="38"/>
      <c r="H331" s="43"/>
      <c r="I331" s="43"/>
      <c r="J331" s="38"/>
      <c r="K331" s="38"/>
      <c r="L331" s="38"/>
      <c r="M331" s="38"/>
      <c r="N331" s="38"/>
      <c r="O331" s="38"/>
      <c r="P331" s="38"/>
      <c r="Q331" s="38"/>
    </row>
    <row r="332" spans="1:17" s="32" customFormat="1">
      <c r="A332" s="38"/>
      <c r="B332" s="38"/>
      <c r="C332" s="38"/>
      <c r="D332" s="38"/>
      <c r="E332" s="38"/>
      <c r="F332" s="38"/>
      <c r="G332" s="38"/>
      <c r="H332" s="43"/>
      <c r="I332" s="43"/>
      <c r="J332" s="38"/>
      <c r="K332" s="38"/>
      <c r="L332" s="38"/>
      <c r="M332" s="38"/>
      <c r="N332" s="38"/>
      <c r="O332" s="38"/>
      <c r="P332" s="38"/>
      <c r="Q332" s="38"/>
    </row>
    <row r="333" spans="1:17" s="32" customFormat="1">
      <c r="A333" s="38"/>
      <c r="B333" s="38"/>
      <c r="C333" s="38"/>
      <c r="D333" s="38"/>
      <c r="E333" s="38"/>
      <c r="F333" s="38"/>
      <c r="G333" s="38"/>
      <c r="H333" s="43"/>
      <c r="I333" s="43"/>
      <c r="J333" s="38"/>
      <c r="K333" s="38"/>
      <c r="L333" s="38"/>
      <c r="M333" s="38"/>
      <c r="N333" s="38"/>
      <c r="O333" s="38"/>
      <c r="P333" s="38"/>
      <c r="Q333" s="38"/>
    </row>
    <row r="334" spans="1:17" s="32" customFormat="1">
      <c r="A334" s="38"/>
      <c r="B334" s="38"/>
      <c r="C334" s="38"/>
      <c r="D334" s="38"/>
      <c r="E334" s="38"/>
      <c r="F334" s="38"/>
      <c r="G334" s="38"/>
      <c r="H334" s="43"/>
      <c r="I334" s="43"/>
      <c r="J334" s="38"/>
      <c r="K334" s="38"/>
      <c r="L334" s="38"/>
      <c r="M334" s="38"/>
      <c r="N334" s="38"/>
      <c r="O334" s="38"/>
      <c r="P334" s="38"/>
      <c r="Q334" s="38"/>
    </row>
    <row r="335" spans="1:17" s="32" customFormat="1">
      <c r="A335" s="38"/>
      <c r="B335" s="38"/>
      <c r="C335" s="38"/>
      <c r="D335" s="38"/>
      <c r="E335" s="38"/>
      <c r="F335" s="38"/>
      <c r="G335" s="38"/>
      <c r="H335" s="43"/>
      <c r="I335" s="43"/>
      <c r="J335" s="38"/>
      <c r="K335" s="38"/>
      <c r="L335" s="38"/>
      <c r="M335" s="38"/>
      <c r="N335" s="38"/>
      <c r="O335" s="38"/>
      <c r="P335" s="38"/>
      <c r="Q335" s="38"/>
    </row>
    <row r="336" spans="1:17" s="32" customFormat="1">
      <c r="A336" s="38"/>
      <c r="B336" s="38"/>
      <c r="C336" s="38"/>
      <c r="D336" s="38"/>
      <c r="E336" s="38"/>
      <c r="F336" s="38"/>
      <c r="G336" s="38"/>
      <c r="H336" s="43"/>
      <c r="I336" s="43"/>
      <c r="J336" s="38"/>
      <c r="K336" s="38"/>
      <c r="L336" s="38"/>
      <c r="M336" s="38"/>
      <c r="N336" s="38"/>
      <c r="O336" s="38"/>
      <c r="P336" s="38"/>
      <c r="Q336" s="38"/>
    </row>
    <row r="337" spans="1:17" s="32" customFormat="1">
      <c r="A337" s="38"/>
      <c r="B337" s="38"/>
      <c r="C337" s="38"/>
      <c r="D337" s="38"/>
      <c r="E337" s="38"/>
      <c r="F337" s="38"/>
      <c r="G337" s="38"/>
      <c r="H337" s="43"/>
      <c r="I337" s="43"/>
      <c r="J337" s="38"/>
      <c r="K337" s="38"/>
      <c r="L337" s="38"/>
      <c r="M337" s="38"/>
      <c r="N337" s="38"/>
      <c r="O337" s="38"/>
      <c r="P337" s="38"/>
      <c r="Q337" s="38"/>
    </row>
    <row r="338" spans="1:17" s="32" customFormat="1">
      <c r="A338" s="38"/>
      <c r="B338" s="38"/>
      <c r="C338" s="38"/>
      <c r="D338" s="38"/>
      <c r="E338" s="38"/>
      <c r="F338" s="38"/>
      <c r="G338" s="38"/>
      <c r="H338" s="43"/>
      <c r="I338" s="43"/>
      <c r="J338" s="38"/>
      <c r="K338" s="38"/>
      <c r="L338" s="38"/>
      <c r="M338" s="38"/>
      <c r="N338" s="38"/>
      <c r="O338" s="38"/>
      <c r="P338" s="38"/>
      <c r="Q338" s="38"/>
    </row>
    <row r="339" spans="1:17" s="32" customFormat="1">
      <c r="A339" s="38"/>
      <c r="B339" s="38"/>
      <c r="C339" s="38"/>
      <c r="D339" s="38"/>
      <c r="E339" s="38"/>
      <c r="F339" s="38"/>
      <c r="G339" s="38"/>
      <c r="H339" s="43"/>
      <c r="I339" s="43"/>
      <c r="J339" s="38"/>
      <c r="K339" s="38"/>
      <c r="L339" s="38"/>
      <c r="M339" s="38"/>
      <c r="N339" s="38"/>
      <c r="O339" s="38"/>
      <c r="P339" s="38"/>
      <c r="Q339" s="38"/>
    </row>
    <row r="340" spans="1:17" s="32" customFormat="1">
      <c r="A340" s="38"/>
      <c r="B340" s="38"/>
      <c r="C340" s="38"/>
      <c r="D340" s="38"/>
      <c r="E340" s="38"/>
      <c r="F340" s="38"/>
      <c r="G340" s="38"/>
      <c r="H340" s="43"/>
      <c r="I340" s="43"/>
      <c r="J340" s="38"/>
      <c r="K340" s="38"/>
      <c r="L340" s="38"/>
      <c r="M340" s="38"/>
      <c r="N340" s="38"/>
      <c r="O340" s="38"/>
      <c r="P340" s="38"/>
      <c r="Q340" s="38"/>
    </row>
    <row r="341" spans="1:17" s="32" customFormat="1">
      <c r="A341" s="38"/>
      <c r="B341" s="38"/>
      <c r="C341" s="38"/>
      <c r="D341" s="38"/>
      <c r="E341" s="38"/>
      <c r="F341" s="38"/>
      <c r="G341" s="38"/>
      <c r="H341" s="43"/>
      <c r="I341" s="43"/>
      <c r="J341" s="38"/>
      <c r="K341" s="38"/>
      <c r="L341" s="38"/>
      <c r="M341" s="38"/>
      <c r="N341" s="38"/>
      <c r="O341" s="38"/>
      <c r="P341" s="38"/>
      <c r="Q341" s="38"/>
    </row>
    <row r="342" spans="1:17" s="32" customFormat="1">
      <c r="A342" s="38"/>
      <c r="B342" s="38"/>
      <c r="C342" s="38"/>
      <c r="D342" s="38"/>
      <c r="E342" s="38"/>
      <c r="F342" s="38"/>
      <c r="G342" s="38"/>
      <c r="H342" s="43"/>
      <c r="I342" s="43"/>
      <c r="J342" s="38"/>
      <c r="K342" s="38"/>
      <c r="L342" s="38"/>
      <c r="M342" s="38"/>
      <c r="N342" s="38"/>
      <c r="O342" s="38"/>
      <c r="P342" s="38"/>
      <c r="Q342" s="38"/>
    </row>
    <row r="343" spans="1:17" s="32" customFormat="1">
      <c r="A343" s="38"/>
      <c r="B343" s="38"/>
      <c r="C343" s="38"/>
      <c r="D343" s="38"/>
      <c r="E343" s="38"/>
      <c r="F343" s="38"/>
      <c r="G343" s="38"/>
      <c r="H343" s="43"/>
      <c r="I343" s="43"/>
      <c r="J343" s="38"/>
      <c r="K343" s="38"/>
      <c r="L343" s="38"/>
      <c r="M343" s="38"/>
      <c r="N343" s="38"/>
      <c r="O343" s="38"/>
      <c r="P343" s="38"/>
      <c r="Q343" s="38"/>
    </row>
    <row r="344" spans="1:17" s="32" customFormat="1">
      <c r="A344" s="38"/>
      <c r="B344" s="38"/>
      <c r="C344" s="38"/>
      <c r="D344" s="38"/>
      <c r="E344" s="38"/>
      <c r="F344" s="38"/>
      <c r="G344" s="38"/>
      <c r="H344" s="43"/>
      <c r="I344" s="43"/>
      <c r="J344" s="38"/>
      <c r="K344" s="38"/>
      <c r="L344" s="38"/>
      <c r="M344" s="38"/>
      <c r="N344" s="38"/>
      <c r="O344" s="38"/>
      <c r="P344" s="38"/>
      <c r="Q344" s="38"/>
    </row>
    <row r="345" spans="1:17" s="32" customFormat="1">
      <c r="A345" s="38"/>
      <c r="B345" s="38"/>
      <c r="C345" s="38"/>
      <c r="D345" s="38"/>
      <c r="E345" s="38"/>
      <c r="F345" s="38"/>
      <c r="G345" s="38"/>
      <c r="H345" s="43"/>
      <c r="I345" s="43"/>
      <c r="J345" s="38"/>
      <c r="K345" s="38"/>
      <c r="L345" s="38"/>
      <c r="M345" s="38"/>
      <c r="N345" s="38"/>
      <c r="O345" s="38"/>
      <c r="P345" s="38"/>
      <c r="Q345" s="38"/>
    </row>
    <row r="346" spans="1:17" s="32" customFormat="1">
      <c r="A346" s="38"/>
      <c r="B346" s="38"/>
      <c r="C346" s="38"/>
      <c r="D346" s="38"/>
      <c r="E346" s="38"/>
      <c r="F346" s="38"/>
      <c r="G346" s="38"/>
      <c r="H346" s="43"/>
      <c r="I346" s="43"/>
      <c r="J346" s="38"/>
      <c r="K346" s="38"/>
      <c r="L346" s="38"/>
      <c r="M346" s="38"/>
      <c r="N346" s="38"/>
      <c r="O346" s="38"/>
      <c r="P346" s="38"/>
      <c r="Q346" s="38"/>
    </row>
    <row r="347" spans="1:17" s="32" customFormat="1">
      <c r="A347" s="38"/>
      <c r="B347" s="38"/>
      <c r="C347" s="38"/>
      <c r="D347" s="38"/>
      <c r="E347" s="38"/>
      <c r="F347" s="38"/>
      <c r="G347" s="38"/>
      <c r="H347" s="43"/>
      <c r="I347" s="43"/>
      <c r="J347" s="38"/>
      <c r="K347" s="38"/>
      <c r="L347" s="38"/>
      <c r="M347" s="38"/>
      <c r="N347" s="38"/>
      <c r="O347" s="38"/>
      <c r="P347" s="38"/>
      <c r="Q347" s="38"/>
    </row>
    <row r="348" spans="1:17" s="32" customFormat="1">
      <c r="A348" s="38"/>
      <c r="B348" s="38"/>
      <c r="C348" s="38"/>
      <c r="D348" s="38"/>
      <c r="E348" s="38"/>
      <c r="F348" s="38"/>
      <c r="G348" s="38"/>
      <c r="H348" s="43"/>
      <c r="I348" s="43"/>
      <c r="J348" s="38"/>
      <c r="K348" s="38"/>
      <c r="L348" s="38"/>
      <c r="M348" s="38"/>
      <c r="N348" s="38"/>
      <c r="O348" s="38"/>
      <c r="P348" s="38"/>
      <c r="Q348" s="38"/>
    </row>
    <row r="349" spans="1:17" s="32" customFormat="1">
      <c r="A349" s="38"/>
      <c r="B349" s="38"/>
      <c r="C349" s="38"/>
      <c r="D349" s="38"/>
      <c r="E349" s="38"/>
      <c r="F349" s="38"/>
      <c r="G349" s="38"/>
      <c r="H349" s="43"/>
      <c r="I349" s="43"/>
      <c r="J349" s="38"/>
      <c r="K349" s="38"/>
      <c r="L349" s="38"/>
      <c r="M349" s="38"/>
      <c r="N349" s="38"/>
      <c r="O349" s="38"/>
      <c r="P349" s="38"/>
      <c r="Q349" s="38"/>
    </row>
    <row r="350" spans="1:17" s="32" customFormat="1">
      <c r="A350" s="38"/>
      <c r="B350" s="38"/>
      <c r="C350" s="38"/>
      <c r="D350" s="38"/>
      <c r="E350" s="38"/>
      <c r="F350" s="38"/>
      <c r="G350" s="38"/>
      <c r="H350" s="43"/>
      <c r="I350" s="43"/>
      <c r="J350" s="38"/>
      <c r="K350" s="38"/>
      <c r="L350" s="38"/>
      <c r="M350" s="38"/>
      <c r="N350" s="38"/>
      <c r="O350" s="38"/>
      <c r="P350" s="38"/>
      <c r="Q350" s="38"/>
    </row>
    <row r="351" spans="1:17" s="32" customFormat="1">
      <c r="A351" s="38"/>
      <c r="B351" s="38"/>
      <c r="C351" s="38"/>
      <c r="D351" s="38"/>
      <c r="E351" s="38"/>
      <c r="F351" s="38"/>
      <c r="G351" s="38"/>
      <c r="H351" s="43"/>
      <c r="I351" s="43"/>
      <c r="J351" s="38"/>
      <c r="K351" s="38"/>
      <c r="L351" s="38"/>
      <c r="M351" s="38"/>
      <c r="N351" s="38"/>
      <c r="O351" s="38"/>
      <c r="P351" s="38"/>
      <c r="Q351" s="38"/>
    </row>
    <row r="352" spans="1:17" s="32" customFormat="1">
      <c r="A352" s="38"/>
      <c r="B352" s="38"/>
      <c r="C352" s="38"/>
      <c r="D352" s="38"/>
      <c r="E352" s="38"/>
      <c r="F352" s="38"/>
      <c r="G352" s="38"/>
      <c r="H352" s="43"/>
      <c r="I352" s="43"/>
      <c r="J352" s="38"/>
      <c r="K352" s="38"/>
      <c r="L352" s="38"/>
      <c r="M352" s="38"/>
      <c r="N352" s="38"/>
      <c r="O352" s="38"/>
      <c r="P352" s="38"/>
      <c r="Q352" s="38"/>
    </row>
    <row r="353" spans="1:17" s="32" customFormat="1">
      <c r="A353" s="38"/>
      <c r="B353" s="38"/>
      <c r="C353" s="38"/>
      <c r="D353" s="38"/>
      <c r="E353" s="38"/>
      <c r="F353" s="38"/>
      <c r="G353" s="38"/>
      <c r="H353" s="43"/>
      <c r="I353" s="43"/>
      <c r="J353" s="38"/>
      <c r="K353" s="38"/>
      <c r="L353" s="38"/>
      <c r="M353" s="38"/>
      <c r="N353" s="38"/>
      <c r="O353" s="38"/>
      <c r="P353" s="38"/>
      <c r="Q353" s="38"/>
    </row>
    <row r="354" spans="1:17" s="32" customFormat="1">
      <c r="A354" s="38"/>
      <c r="B354" s="38"/>
      <c r="C354" s="38"/>
      <c r="D354" s="38"/>
      <c r="E354" s="38"/>
      <c r="F354" s="38"/>
      <c r="G354" s="38"/>
      <c r="H354" s="43"/>
      <c r="I354" s="43"/>
      <c r="J354" s="38"/>
      <c r="K354" s="38"/>
      <c r="L354" s="38"/>
      <c r="M354" s="38"/>
      <c r="N354" s="38"/>
      <c r="O354" s="38"/>
      <c r="P354" s="38"/>
      <c r="Q354" s="38"/>
    </row>
    <row r="355" spans="1:17" s="32" customFormat="1">
      <c r="A355" s="38"/>
      <c r="B355" s="38"/>
      <c r="C355" s="38"/>
      <c r="D355" s="38"/>
      <c r="E355" s="38"/>
      <c r="F355" s="38"/>
      <c r="G355" s="38"/>
      <c r="H355" s="43"/>
      <c r="I355" s="43"/>
      <c r="J355" s="38"/>
      <c r="K355" s="38"/>
      <c r="L355" s="38"/>
      <c r="M355" s="38"/>
      <c r="N355" s="38"/>
      <c r="O355" s="38"/>
      <c r="P355" s="38"/>
      <c r="Q355" s="38"/>
    </row>
    <row r="356" spans="1:17" s="32" customFormat="1">
      <c r="A356" s="38"/>
      <c r="B356" s="38"/>
      <c r="C356" s="38"/>
      <c r="D356" s="38"/>
      <c r="E356" s="38"/>
      <c r="F356" s="38"/>
      <c r="G356" s="38"/>
      <c r="H356" s="43"/>
      <c r="I356" s="43"/>
      <c r="J356" s="38"/>
      <c r="K356" s="38"/>
      <c r="L356" s="38"/>
      <c r="M356" s="38"/>
      <c r="N356" s="38"/>
      <c r="O356" s="38"/>
      <c r="P356" s="38"/>
      <c r="Q356" s="38"/>
    </row>
    <row r="357" spans="1:17" s="32" customFormat="1">
      <c r="A357" s="38"/>
      <c r="B357" s="38"/>
      <c r="C357" s="38"/>
      <c r="D357" s="38"/>
      <c r="E357" s="38"/>
      <c r="F357" s="38"/>
      <c r="G357" s="38"/>
      <c r="H357" s="43"/>
      <c r="I357" s="43"/>
      <c r="J357" s="38"/>
      <c r="K357" s="38"/>
      <c r="L357" s="38"/>
      <c r="M357" s="38"/>
      <c r="N357" s="38"/>
      <c r="O357" s="38"/>
      <c r="P357" s="38"/>
      <c r="Q357" s="38"/>
    </row>
    <row r="358" spans="1:17" s="32" customFormat="1">
      <c r="A358" s="38"/>
      <c r="B358" s="38"/>
      <c r="C358" s="38"/>
      <c r="D358" s="38"/>
      <c r="E358" s="38"/>
      <c r="F358" s="38"/>
      <c r="G358" s="38"/>
      <c r="H358" s="43"/>
      <c r="I358" s="43"/>
      <c r="J358" s="38"/>
      <c r="K358" s="38"/>
      <c r="L358" s="38"/>
      <c r="M358" s="38"/>
      <c r="N358" s="38"/>
      <c r="O358" s="38"/>
      <c r="P358" s="38"/>
      <c r="Q358" s="38"/>
    </row>
    <row r="359" spans="1:17" s="32" customFormat="1">
      <c r="A359" s="38"/>
      <c r="B359" s="38"/>
      <c r="C359" s="38"/>
      <c r="D359" s="38"/>
      <c r="E359" s="38"/>
      <c r="F359" s="38"/>
      <c r="G359" s="38"/>
      <c r="H359" s="43"/>
      <c r="I359" s="43"/>
      <c r="J359" s="38"/>
      <c r="K359" s="38"/>
      <c r="L359" s="38"/>
      <c r="M359" s="38"/>
      <c r="N359" s="38"/>
      <c r="O359" s="38"/>
      <c r="P359" s="38"/>
      <c r="Q359" s="38"/>
    </row>
    <row r="360" spans="1:17" s="32" customFormat="1">
      <c r="A360" s="38"/>
      <c r="B360" s="38"/>
      <c r="C360" s="38"/>
      <c r="D360" s="38"/>
      <c r="E360" s="38"/>
      <c r="F360" s="38"/>
      <c r="G360" s="38"/>
      <c r="H360" s="43"/>
      <c r="I360" s="43"/>
      <c r="J360" s="38"/>
      <c r="K360" s="38"/>
      <c r="L360" s="38"/>
      <c r="M360" s="38"/>
      <c r="N360" s="38"/>
      <c r="O360" s="38"/>
      <c r="P360" s="38"/>
      <c r="Q360" s="38"/>
    </row>
    <row r="361" spans="1:17" s="32" customFormat="1">
      <c r="A361" s="38"/>
      <c r="B361" s="38"/>
      <c r="C361" s="38"/>
      <c r="D361" s="38"/>
      <c r="E361" s="38"/>
      <c r="F361" s="38"/>
      <c r="G361" s="38"/>
      <c r="H361" s="43"/>
      <c r="I361" s="43"/>
      <c r="J361" s="38"/>
      <c r="K361" s="38"/>
      <c r="L361" s="38"/>
      <c r="M361" s="38"/>
      <c r="N361" s="38"/>
      <c r="O361" s="38"/>
      <c r="P361" s="38"/>
      <c r="Q361" s="38"/>
    </row>
    <row r="362" spans="1:17" s="32" customFormat="1">
      <c r="A362" s="38"/>
      <c r="B362" s="38"/>
      <c r="C362" s="38"/>
      <c r="D362" s="38"/>
      <c r="E362" s="38"/>
      <c r="F362" s="38"/>
      <c r="G362" s="38"/>
      <c r="H362" s="43"/>
      <c r="I362" s="43"/>
      <c r="J362" s="38"/>
      <c r="K362" s="38"/>
      <c r="L362" s="38"/>
      <c r="M362" s="38"/>
      <c r="N362" s="38"/>
      <c r="O362" s="38"/>
      <c r="P362" s="38"/>
      <c r="Q362" s="38"/>
    </row>
    <row r="363" spans="1:17" s="32" customFormat="1">
      <c r="A363" s="38"/>
      <c r="B363" s="38"/>
      <c r="C363" s="38"/>
      <c r="D363" s="38"/>
      <c r="E363" s="38"/>
      <c r="F363" s="38"/>
      <c r="G363" s="38"/>
      <c r="H363" s="43"/>
      <c r="I363" s="43"/>
      <c r="J363" s="38"/>
      <c r="K363" s="38"/>
      <c r="L363" s="38"/>
      <c r="M363" s="38"/>
      <c r="N363" s="38"/>
      <c r="O363" s="38"/>
      <c r="P363" s="38"/>
      <c r="Q363" s="38"/>
    </row>
    <row r="364" spans="1:17" s="32" customFormat="1">
      <c r="A364" s="38"/>
      <c r="B364" s="38"/>
      <c r="C364" s="38"/>
      <c r="D364" s="38"/>
      <c r="E364" s="38"/>
      <c r="F364" s="38"/>
      <c r="G364" s="38"/>
      <c r="H364" s="43"/>
      <c r="I364" s="43"/>
      <c r="J364" s="38"/>
      <c r="K364" s="38"/>
      <c r="L364" s="38"/>
      <c r="M364" s="38"/>
      <c r="N364" s="38"/>
      <c r="O364" s="38"/>
      <c r="P364" s="38"/>
      <c r="Q364" s="38"/>
    </row>
    <row r="365" spans="1:17" s="32" customFormat="1">
      <c r="A365" s="38"/>
      <c r="B365" s="38"/>
      <c r="C365" s="38"/>
      <c r="D365" s="38"/>
      <c r="E365" s="38"/>
      <c r="F365" s="38"/>
      <c r="G365" s="38"/>
      <c r="H365" s="43"/>
      <c r="I365" s="43"/>
      <c r="J365" s="38"/>
      <c r="K365" s="38"/>
      <c r="L365" s="38"/>
      <c r="M365" s="38"/>
      <c r="N365" s="38"/>
      <c r="O365" s="38"/>
      <c r="P365" s="38"/>
      <c r="Q365" s="38"/>
    </row>
    <row r="366" spans="1:17" s="32" customFormat="1">
      <c r="A366" s="38"/>
      <c r="B366" s="38"/>
      <c r="C366" s="38"/>
      <c r="D366" s="38"/>
      <c r="E366" s="38"/>
      <c r="F366" s="38"/>
      <c r="G366" s="38"/>
      <c r="H366" s="43"/>
      <c r="I366" s="43"/>
      <c r="J366" s="38"/>
      <c r="K366" s="38"/>
      <c r="L366" s="38"/>
      <c r="M366" s="38"/>
      <c r="N366" s="38"/>
      <c r="O366" s="38"/>
      <c r="P366" s="38"/>
      <c r="Q366" s="38"/>
    </row>
    <row r="367" spans="1:17" s="32" customFormat="1">
      <c r="A367" s="38"/>
      <c r="B367" s="38"/>
      <c r="C367" s="38"/>
      <c r="D367" s="38"/>
      <c r="E367" s="38"/>
      <c r="F367" s="38"/>
      <c r="G367" s="38"/>
      <c r="H367" s="43"/>
      <c r="I367" s="43"/>
      <c r="J367" s="38"/>
      <c r="K367" s="38"/>
      <c r="L367" s="38"/>
      <c r="M367" s="38"/>
      <c r="N367" s="38"/>
      <c r="O367" s="38"/>
      <c r="P367" s="38"/>
      <c r="Q367" s="38"/>
    </row>
    <row r="368" spans="1:17" s="32" customFormat="1">
      <c r="A368" s="38"/>
      <c r="B368" s="38"/>
      <c r="C368" s="38"/>
      <c r="D368" s="38"/>
      <c r="E368" s="38"/>
      <c r="F368" s="38"/>
      <c r="G368" s="38"/>
      <c r="H368" s="43"/>
      <c r="I368" s="43"/>
      <c r="J368" s="38"/>
      <c r="K368" s="38"/>
      <c r="L368" s="38"/>
      <c r="M368" s="38"/>
      <c r="N368" s="38"/>
      <c r="O368" s="38"/>
      <c r="P368" s="38"/>
      <c r="Q368" s="38"/>
    </row>
    <row r="369" spans="1:17" s="32" customFormat="1">
      <c r="A369" s="38"/>
      <c r="B369" s="38"/>
      <c r="C369" s="38"/>
      <c r="D369" s="38"/>
      <c r="E369" s="38"/>
      <c r="F369" s="38"/>
      <c r="G369" s="38"/>
      <c r="H369" s="43"/>
      <c r="I369" s="43"/>
      <c r="J369" s="38"/>
      <c r="K369" s="38"/>
      <c r="L369" s="38"/>
      <c r="M369" s="38"/>
      <c r="N369" s="38"/>
      <c r="O369" s="38"/>
      <c r="P369" s="38"/>
      <c r="Q369" s="38"/>
    </row>
    <row r="370" spans="1:17" s="32" customFormat="1">
      <c r="A370" s="38"/>
      <c r="B370" s="38"/>
      <c r="C370" s="38"/>
      <c r="D370" s="38"/>
      <c r="E370" s="38"/>
      <c r="F370" s="38"/>
      <c r="G370" s="38"/>
      <c r="H370" s="43"/>
      <c r="I370" s="43"/>
      <c r="J370" s="38"/>
      <c r="K370" s="38"/>
      <c r="L370" s="38"/>
      <c r="M370" s="38"/>
      <c r="N370" s="38"/>
      <c r="O370" s="38"/>
      <c r="P370" s="38"/>
      <c r="Q370" s="38"/>
    </row>
    <row r="371" spans="1:17" s="32" customFormat="1">
      <c r="A371" s="38"/>
      <c r="B371" s="38"/>
      <c r="C371" s="38"/>
      <c r="D371" s="38"/>
      <c r="E371" s="38"/>
      <c r="F371" s="38"/>
      <c r="G371" s="38"/>
      <c r="H371" s="43"/>
      <c r="I371" s="43"/>
      <c r="J371" s="38"/>
      <c r="K371" s="38"/>
      <c r="L371" s="38"/>
      <c r="M371" s="38"/>
      <c r="N371" s="38"/>
      <c r="O371" s="38"/>
      <c r="P371" s="38"/>
      <c r="Q371" s="38"/>
    </row>
    <row r="372" spans="1:17" s="32" customFormat="1">
      <c r="A372" s="38"/>
      <c r="B372" s="38"/>
      <c r="C372" s="38"/>
      <c r="D372" s="38"/>
      <c r="E372" s="38"/>
      <c r="F372" s="38"/>
      <c r="G372" s="38"/>
      <c r="H372" s="43"/>
      <c r="I372" s="43"/>
      <c r="J372" s="38"/>
      <c r="K372" s="38"/>
      <c r="L372" s="38"/>
      <c r="M372" s="38"/>
      <c r="N372" s="38"/>
      <c r="O372" s="38"/>
      <c r="P372" s="38"/>
      <c r="Q372" s="38"/>
    </row>
    <row r="373" spans="1:17" s="32" customFormat="1">
      <c r="A373" s="38"/>
      <c r="B373" s="38"/>
      <c r="C373" s="38"/>
      <c r="D373" s="38"/>
      <c r="E373" s="38"/>
      <c r="F373" s="38"/>
      <c r="G373" s="38"/>
      <c r="H373" s="43"/>
      <c r="I373" s="43"/>
      <c r="J373" s="38"/>
      <c r="K373" s="38"/>
      <c r="L373" s="38"/>
      <c r="M373" s="38"/>
      <c r="N373" s="38"/>
      <c r="O373" s="38"/>
      <c r="P373" s="38"/>
      <c r="Q373" s="38"/>
    </row>
    <row r="374" spans="1:17" s="32" customFormat="1">
      <c r="A374" s="38"/>
      <c r="B374" s="38"/>
      <c r="C374" s="38"/>
      <c r="D374" s="38"/>
      <c r="E374" s="38"/>
      <c r="F374" s="38"/>
      <c r="G374" s="38"/>
      <c r="H374" s="43"/>
      <c r="I374" s="43"/>
      <c r="J374" s="38"/>
      <c r="K374" s="38"/>
      <c r="L374" s="38"/>
      <c r="M374" s="38"/>
      <c r="N374" s="38"/>
      <c r="O374" s="38"/>
      <c r="P374" s="38"/>
      <c r="Q374" s="38"/>
    </row>
    <row r="375" spans="1:17" s="32" customFormat="1">
      <c r="A375" s="38"/>
      <c r="B375" s="38"/>
      <c r="C375" s="38"/>
      <c r="D375" s="38"/>
      <c r="E375" s="38"/>
      <c r="F375" s="38"/>
      <c r="G375" s="38"/>
      <c r="H375" s="43"/>
      <c r="I375" s="43"/>
      <c r="J375" s="38"/>
      <c r="K375" s="38"/>
      <c r="L375" s="38"/>
      <c r="M375" s="38"/>
      <c r="N375" s="38"/>
      <c r="O375" s="38"/>
      <c r="P375" s="38"/>
      <c r="Q375" s="38"/>
    </row>
    <row r="376" spans="1:17" s="32" customFormat="1">
      <c r="A376" s="38"/>
      <c r="B376" s="38"/>
      <c r="C376" s="38"/>
      <c r="D376" s="38"/>
      <c r="E376" s="38"/>
      <c r="F376" s="38"/>
      <c r="G376" s="38"/>
      <c r="H376" s="43"/>
      <c r="I376" s="43"/>
      <c r="J376" s="38"/>
      <c r="K376" s="38"/>
      <c r="L376" s="38"/>
      <c r="M376" s="38"/>
      <c r="N376" s="38"/>
      <c r="O376" s="38"/>
      <c r="P376" s="38"/>
      <c r="Q376" s="38"/>
    </row>
    <row r="377" spans="1:17" s="32" customFormat="1">
      <c r="A377" s="38"/>
      <c r="B377" s="38"/>
      <c r="C377" s="38"/>
      <c r="D377" s="38"/>
      <c r="E377" s="38"/>
      <c r="F377" s="38"/>
      <c r="G377" s="38"/>
      <c r="H377" s="43"/>
      <c r="I377" s="43"/>
      <c r="J377" s="38"/>
      <c r="K377" s="38"/>
      <c r="L377" s="38"/>
      <c r="M377" s="38"/>
      <c r="N377" s="38"/>
      <c r="O377" s="38"/>
      <c r="P377" s="38"/>
      <c r="Q377" s="38"/>
    </row>
    <row r="378" spans="1:17" s="32" customFormat="1">
      <c r="A378" s="38"/>
      <c r="B378" s="38"/>
      <c r="C378" s="38"/>
      <c r="D378" s="38"/>
      <c r="E378" s="38"/>
      <c r="F378" s="38"/>
      <c r="G378" s="38"/>
      <c r="H378" s="43"/>
      <c r="I378" s="43"/>
      <c r="J378" s="38"/>
      <c r="K378" s="38"/>
      <c r="L378" s="38"/>
      <c r="M378" s="38"/>
      <c r="N378" s="38"/>
      <c r="O378" s="38"/>
      <c r="P378" s="38"/>
      <c r="Q378" s="38"/>
    </row>
    <row r="379" spans="1:17" s="32" customFormat="1">
      <c r="A379" s="38"/>
      <c r="B379" s="38"/>
      <c r="C379" s="38"/>
      <c r="D379" s="38"/>
      <c r="E379" s="38"/>
      <c r="F379" s="38"/>
      <c r="G379" s="38"/>
      <c r="H379" s="43"/>
      <c r="I379" s="43"/>
      <c r="J379" s="38"/>
      <c r="K379" s="38"/>
      <c r="L379" s="38"/>
      <c r="M379" s="38"/>
      <c r="N379" s="38"/>
      <c r="O379" s="38"/>
      <c r="P379" s="38"/>
      <c r="Q379" s="38"/>
    </row>
    <row r="380" spans="1:17" s="32" customFormat="1">
      <c r="A380" s="38"/>
      <c r="B380" s="38"/>
      <c r="C380" s="38"/>
      <c r="D380" s="38"/>
      <c r="E380" s="38"/>
      <c r="F380" s="38"/>
      <c r="G380" s="38"/>
      <c r="H380" s="43"/>
      <c r="I380" s="43"/>
      <c r="J380" s="38"/>
      <c r="K380" s="38"/>
      <c r="L380" s="38"/>
      <c r="M380" s="38"/>
      <c r="N380" s="38"/>
      <c r="O380" s="38"/>
      <c r="P380" s="38"/>
      <c r="Q380" s="38"/>
    </row>
    <row r="381" spans="1:17" s="32" customFormat="1">
      <c r="A381" s="38"/>
      <c r="B381" s="38"/>
      <c r="C381" s="38"/>
      <c r="D381" s="38"/>
      <c r="E381" s="38"/>
      <c r="F381" s="38"/>
      <c r="G381" s="38"/>
      <c r="H381" s="43"/>
      <c r="I381" s="43"/>
      <c r="J381" s="38"/>
      <c r="K381" s="38"/>
      <c r="L381" s="38"/>
      <c r="M381" s="38"/>
      <c r="N381" s="38"/>
      <c r="O381" s="38"/>
      <c r="P381" s="38"/>
      <c r="Q381" s="38"/>
    </row>
    <row r="382" spans="1:17" s="32" customFormat="1">
      <c r="A382" s="38"/>
      <c r="B382" s="38"/>
      <c r="C382" s="38"/>
      <c r="D382" s="38"/>
      <c r="E382" s="38"/>
      <c r="F382" s="38"/>
      <c r="G382" s="38"/>
      <c r="H382" s="43"/>
      <c r="I382" s="43"/>
      <c r="J382" s="38"/>
      <c r="K382" s="38"/>
      <c r="L382" s="38"/>
      <c r="M382" s="38"/>
      <c r="N382" s="38"/>
      <c r="O382" s="38"/>
      <c r="P382" s="38"/>
      <c r="Q382" s="38"/>
    </row>
    <row r="383" spans="1:17" s="32" customFormat="1">
      <c r="A383" s="38"/>
      <c r="B383" s="38"/>
      <c r="C383" s="38"/>
      <c r="D383" s="38"/>
      <c r="E383" s="38"/>
      <c r="F383" s="38"/>
      <c r="G383" s="38"/>
      <c r="H383" s="43"/>
      <c r="I383" s="43"/>
      <c r="J383" s="38"/>
      <c r="K383" s="38"/>
      <c r="L383" s="38"/>
      <c r="M383" s="38"/>
      <c r="N383" s="38"/>
      <c r="O383" s="38"/>
      <c r="P383" s="38"/>
      <c r="Q383" s="38"/>
    </row>
  </sheetData>
  <customSheetViews>
    <customSheetView guid="{FA833650-9147-48FF-9246-B3943D91CD8D}" scale="80" showPageBreaks="1" printArea="1" hiddenColumns="1" view="pageBreakPreview">
      <pane ySplit="6" topLeftCell="A163" activePane="bottomLeft" state="frozen"/>
      <selection pane="bottomLeft" activeCell="U157" sqref="U157"/>
      <rowBreaks count="2" manualBreakCount="2">
        <brk id="105" max="15" man="1"/>
        <brk id="133" max="15" man="1"/>
      </rowBreaks>
      <pageMargins left="0.25" right="0.25" top="0.75" bottom="0.75" header="0.3" footer="0.3"/>
      <pageSetup paperSize="9" scale="41" fitToHeight="6" orientation="portrait" r:id="rId1"/>
      <headerFooter alignWithMargins="0"/>
    </customSheetView>
  </customSheetViews>
  <mergeCells count="580">
    <mergeCell ref="A128:Q128"/>
    <mergeCell ref="A137:Q137"/>
    <mergeCell ref="A144:Q144"/>
    <mergeCell ref="A153:Q153"/>
    <mergeCell ref="C64:C65"/>
    <mergeCell ref="D64:D65"/>
    <mergeCell ref="E64:E65"/>
    <mergeCell ref="F64:F65"/>
    <mergeCell ref="C68:C69"/>
    <mergeCell ref="D68:D69"/>
    <mergeCell ref="E68:E69"/>
    <mergeCell ref="F68:F69"/>
    <mergeCell ref="C72:C73"/>
    <mergeCell ref="D72:D73"/>
    <mergeCell ref="E72:E73"/>
    <mergeCell ref="F72:F73"/>
    <mergeCell ref="A95:A96"/>
    <mergeCell ref="C95:C96"/>
    <mergeCell ref="D95:D96"/>
    <mergeCell ref="E95:E96"/>
    <mergeCell ref="F95:F96"/>
    <mergeCell ref="G64:G65"/>
    <mergeCell ref="G68:G69"/>
    <mergeCell ref="G72:G73"/>
    <mergeCell ref="A7:Q7"/>
    <mergeCell ref="A9:Q9"/>
    <mergeCell ref="A10:A11"/>
    <mergeCell ref="C10:C11"/>
    <mergeCell ref="D10:D11"/>
    <mergeCell ref="E10:E11"/>
    <mergeCell ref="F10:F11"/>
    <mergeCell ref="G10:G11"/>
    <mergeCell ref="I10:I11"/>
    <mergeCell ref="L10:L11"/>
    <mergeCell ref="A8:M8"/>
    <mergeCell ref="N8:Q8"/>
    <mergeCell ref="A76:A77"/>
    <mergeCell ref="C76:C77"/>
    <mergeCell ref="D76:D77"/>
    <mergeCell ref="E76:E77"/>
    <mergeCell ref="F76:F77"/>
    <mergeCell ref="G76:G77"/>
    <mergeCell ref="I76:I77"/>
    <mergeCell ref="L76:L77"/>
    <mergeCell ref="A74:A75"/>
    <mergeCell ref="C74:C75"/>
    <mergeCell ref="D74:D75"/>
    <mergeCell ref="E74:E75"/>
    <mergeCell ref="F74:F75"/>
    <mergeCell ref="G74:G75"/>
    <mergeCell ref="I74:I75"/>
    <mergeCell ref="L74:L75"/>
    <mergeCell ref="A64:A65"/>
    <mergeCell ref="A68:A69"/>
    <mergeCell ref="A72:A73"/>
    <mergeCell ref="I64:I65"/>
    <mergeCell ref="I68:I69"/>
    <mergeCell ref="I72:I73"/>
    <mergeCell ref="L64:L65"/>
    <mergeCell ref="L68:L69"/>
    <mergeCell ref="L72:L73"/>
    <mergeCell ref="D66:D67"/>
    <mergeCell ref="E66:E67"/>
    <mergeCell ref="F66:F67"/>
    <mergeCell ref="G66:G67"/>
    <mergeCell ref="I66:I67"/>
    <mergeCell ref="L66:L67"/>
    <mergeCell ref="A70:A71"/>
    <mergeCell ref="C70:C71"/>
    <mergeCell ref="D70:D71"/>
    <mergeCell ref="E70:E71"/>
    <mergeCell ref="F70:F71"/>
    <mergeCell ref="G70:G71"/>
    <mergeCell ref="I70:I71"/>
    <mergeCell ref="L70:L71"/>
    <mergeCell ref="A49:Q49"/>
    <mergeCell ref="A59:Q59"/>
    <mergeCell ref="A62:A63"/>
    <mergeCell ref="C62:C63"/>
    <mergeCell ref="D62:D63"/>
    <mergeCell ref="E62:E63"/>
    <mergeCell ref="F62:F63"/>
    <mergeCell ref="G62:G63"/>
    <mergeCell ref="I62:I63"/>
    <mergeCell ref="L62:L63"/>
    <mergeCell ref="A61:K61"/>
    <mergeCell ref="L60:Q60"/>
    <mergeCell ref="L61:Q61"/>
    <mergeCell ref="A22:M22"/>
    <mergeCell ref="N22:Q22"/>
    <mergeCell ref="A13:M13"/>
    <mergeCell ref="N13:Q13"/>
    <mergeCell ref="A91:A92"/>
    <mergeCell ref="C91:C92"/>
    <mergeCell ref="D91:D92"/>
    <mergeCell ref="E91:E92"/>
    <mergeCell ref="F91:F92"/>
    <mergeCell ref="G91:G92"/>
    <mergeCell ref="I91:I92"/>
    <mergeCell ref="L91:L92"/>
    <mergeCell ref="A87:A88"/>
    <mergeCell ref="C87:C88"/>
    <mergeCell ref="D87:D88"/>
    <mergeCell ref="E87:E88"/>
    <mergeCell ref="F87:F88"/>
    <mergeCell ref="G87:G88"/>
    <mergeCell ref="I87:I88"/>
    <mergeCell ref="L87:L88"/>
    <mergeCell ref="A89:A90"/>
    <mergeCell ref="C89:C90"/>
    <mergeCell ref="D89:D90"/>
    <mergeCell ref="E89:E90"/>
    <mergeCell ref="F89:F90"/>
    <mergeCell ref="G89:G90"/>
    <mergeCell ref="I89:I90"/>
    <mergeCell ref="L89:L90"/>
    <mergeCell ref="A83:A84"/>
    <mergeCell ref="C83:C84"/>
    <mergeCell ref="D83:D84"/>
    <mergeCell ref="E83:E84"/>
    <mergeCell ref="F83:F84"/>
    <mergeCell ref="G83:G84"/>
    <mergeCell ref="I83:I84"/>
    <mergeCell ref="L83:L84"/>
    <mergeCell ref="A85:A86"/>
    <mergeCell ref="C85:C86"/>
    <mergeCell ref="D85:D86"/>
    <mergeCell ref="E85:E86"/>
    <mergeCell ref="F85:F86"/>
    <mergeCell ref="G85:G86"/>
    <mergeCell ref="I85:I86"/>
    <mergeCell ref="L85:L86"/>
    <mergeCell ref="A123:A124"/>
    <mergeCell ref="C123:C124"/>
    <mergeCell ref="D123:D124"/>
    <mergeCell ref="E123:E124"/>
    <mergeCell ref="F123:F124"/>
    <mergeCell ref="G123:G124"/>
    <mergeCell ref="I123:I124"/>
    <mergeCell ref="L123:L124"/>
    <mergeCell ref="A119:A120"/>
    <mergeCell ref="C119:C120"/>
    <mergeCell ref="D119:D120"/>
    <mergeCell ref="E119:E120"/>
    <mergeCell ref="F119:F120"/>
    <mergeCell ref="G119:G120"/>
    <mergeCell ref="I119:I120"/>
    <mergeCell ref="L119:L120"/>
    <mergeCell ref="A121:A122"/>
    <mergeCell ref="C121:C122"/>
    <mergeCell ref="D121:D122"/>
    <mergeCell ref="E121:E122"/>
    <mergeCell ref="F121:F122"/>
    <mergeCell ref="G121:G122"/>
    <mergeCell ref="I121:I122"/>
    <mergeCell ref="L121:L122"/>
    <mergeCell ref="A125:A126"/>
    <mergeCell ref="C125:C126"/>
    <mergeCell ref="D125:D126"/>
    <mergeCell ref="E125:E126"/>
    <mergeCell ref="F125:F126"/>
    <mergeCell ref="G125:G126"/>
    <mergeCell ref="I125:I126"/>
    <mergeCell ref="L125:L126"/>
    <mergeCell ref="A78:Q78"/>
    <mergeCell ref="A93:A94"/>
    <mergeCell ref="C93:C94"/>
    <mergeCell ref="D93:D94"/>
    <mergeCell ref="E93:E94"/>
    <mergeCell ref="F93:F94"/>
    <mergeCell ref="G93:G94"/>
    <mergeCell ref="I93:I94"/>
    <mergeCell ref="L93:L94"/>
    <mergeCell ref="A98:Q98"/>
    <mergeCell ref="A115:Q115"/>
    <mergeCell ref="G95:G96"/>
    <mergeCell ref="I95:I96"/>
    <mergeCell ref="L95:L96"/>
    <mergeCell ref="A114:Q114"/>
    <mergeCell ref="A116:Q116"/>
    <mergeCell ref="L37:L38"/>
    <mergeCell ref="A33:A34"/>
    <mergeCell ref="C33:C34"/>
    <mergeCell ref="D33:D34"/>
    <mergeCell ref="E33:E34"/>
    <mergeCell ref="F33:F34"/>
    <mergeCell ref="G33:G34"/>
    <mergeCell ref="I33:I34"/>
    <mergeCell ref="L33:L34"/>
    <mergeCell ref="A35:A36"/>
    <mergeCell ref="C35:C36"/>
    <mergeCell ref="D35:D36"/>
    <mergeCell ref="E35:E36"/>
    <mergeCell ref="F35:F36"/>
    <mergeCell ref="G35:G36"/>
    <mergeCell ref="I35:I36"/>
    <mergeCell ref="A112:A113"/>
    <mergeCell ref="E112:E113"/>
    <mergeCell ref="D102:D103"/>
    <mergeCell ref="E102:E103"/>
    <mergeCell ref="F102:F103"/>
    <mergeCell ref="G102:G103"/>
    <mergeCell ref="I102:I103"/>
    <mergeCell ref="A37:A38"/>
    <mergeCell ref="C37:C38"/>
    <mergeCell ref="D37:D38"/>
    <mergeCell ref="E37:E38"/>
    <mergeCell ref="F37:F38"/>
    <mergeCell ref="G37:G38"/>
    <mergeCell ref="I37:I38"/>
    <mergeCell ref="A79:M79"/>
    <mergeCell ref="A80:Q80"/>
    <mergeCell ref="A81:A82"/>
    <mergeCell ref="C81:C82"/>
    <mergeCell ref="D81:D82"/>
    <mergeCell ref="E81:E82"/>
    <mergeCell ref="F81:F82"/>
    <mergeCell ref="G81:G82"/>
    <mergeCell ref="I81:I82"/>
    <mergeCell ref="L81:L82"/>
    <mergeCell ref="C31:C32"/>
    <mergeCell ref="D31:D32"/>
    <mergeCell ref="E31:E32"/>
    <mergeCell ref="F31:F32"/>
    <mergeCell ref="G31:G32"/>
    <mergeCell ref="I31:I32"/>
    <mergeCell ref="L31:L32"/>
    <mergeCell ref="A117:A118"/>
    <mergeCell ref="C117:C118"/>
    <mergeCell ref="D117:D118"/>
    <mergeCell ref="E117:E118"/>
    <mergeCell ref="F117:F118"/>
    <mergeCell ref="G117:G118"/>
    <mergeCell ref="I117:I118"/>
    <mergeCell ref="L117:L118"/>
    <mergeCell ref="L35:L36"/>
    <mergeCell ref="E57:E58"/>
    <mergeCell ref="C55:C56"/>
    <mergeCell ref="D55:D56"/>
    <mergeCell ref="C110:C111"/>
    <mergeCell ref="I108:I109"/>
    <mergeCell ref="L108:L109"/>
    <mergeCell ref="G110:G111"/>
    <mergeCell ref="L112:L113"/>
    <mergeCell ref="A26:A27"/>
    <mergeCell ref="L26:L27"/>
    <mergeCell ref="L57:L58"/>
    <mergeCell ref="E55:E56"/>
    <mergeCell ref="I55:I56"/>
    <mergeCell ref="F55:F56"/>
    <mergeCell ref="G53:G54"/>
    <mergeCell ref="L53:L54"/>
    <mergeCell ref="D53:D54"/>
    <mergeCell ref="E53:E54"/>
    <mergeCell ref="F53:F54"/>
    <mergeCell ref="I53:I54"/>
    <mergeCell ref="D44:D45"/>
    <mergeCell ref="L44:L45"/>
    <mergeCell ref="E42:E43"/>
    <mergeCell ref="I42:I43"/>
    <mergeCell ref="A41:Q41"/>
    <mergeCell ref="L42:L43"/>
    <mergeCell ref="A39:Q39"/>
    <mergeCell ref="A42:A43"/>
    <mergeCell ref="E26:E27"/>
    <mergeCell ref="A29:M29"/>
    <mergeCell ref="A30:Q30"/>
    <mergeCell ref="A31:A32"/>
    <mergeCell ref="D24:D25"/>
    <mergeCell ref="E24:E25"/>
    <mergeCell ref="G44:G45"/>
    <mergeCell ref="A55:A56"/>
    <mergeCell ref="L55:L56"/>
    <mergeCell ref="G55:G56"/>
    <mergeCell ref="C57:C58"/>
    <mergeCell ref="F51:F52"/>
    <mergeCell ref="A23:Q23"/>
    <mergeCell ref="D57:D58"/>
    <mergeCell ref="I57:I58"/>
    <mergeCell ref="G57:G58"/>
    <mergeCell ref="A57:A58"/>
    <mergeCell ref="F57:F58"/>
    <mergeCell ref="C24:C25"/>
    <mergeCell ref="F24:F25"/>
    <mergeCell ref="G24:G25"/>
    <mergeCell ref="E51:E52"/>
    <mergeCell ref="G51:G52"/>
    <mergeCell ref="I44:I45"/>
    <mergeCell ref="C44:C45"/>
    <mergeCell ref="A48:Q48"/>
    <mergeCell ref="A44:A45"/>
    <mergeCell ref="I46:I47"/>
    <mergeCell ref="A21:Q21"/>
    <mergeCell ref="A24:A25"/>
    <mergeCell ref="A28:Q28"/>
    <mergeCell ref="A40:Q40"/>
    <mergeCell ref="O174:P174"/>
    <mergeCell ref="O170:P170"/>
    <mergeCell ref="E171:G171"/>
    <mergeCell ref="O171:P171"/>
    <mergeCell ref="B171:D171"/>
    <mergeCell ref="B172:D172"/>
    <mergeCell ref="E172:G172"/>
    <mergeCell ref="O172:P172"/>
    <mergeCell ref="B170:D170"/>
    <mergeCell ref="E170:G170"/>
    <mergeCell ref="B173:D173"/>
    <mergeCell ref="E173:G173"/>
    <mergeCell ref="O173:P173"/>
    <mergeCell ref="G159:G160"/>
    <mergeCell ref="A162:M162"/>
    <mergeCell ref="E159:E160"/>
    <mergeCell ref="B174:D174"/>
    <mergeCell ref="B168:D168"/>
    <mergeCell ref="E168:G168"/>
    <mergeCell ref="D159:D160"/>
    <mergeCell ref="A15:A16"/>
    <mergeCell ref="A17:A18"/>
    <mergeCell ref="C17:C18"/>
    <mergeCell ref="E17:E18"/>
    <mergeCell ref="C26:C27"/>
    <mergeCell ref="A12:Q12"/>
    <mergeCell ref="E19:E20"/>
    <mergeCell ref="I19:I20"/>
    <mergeCell ref="A14:Q14"/>
    <mergeCell ref="D17:D18"/>
    <mergeCell ref="C15:C16"/>
    <mergeCell ref="L15:L16"/>
    <mergeCell ref="G17:G18"/>
    <mergeCell ref="I15:I16"/>
    <mergeCell ref="I17:I18"/>
    <mergeCell ref="L17:L18"/>
    <mergeCell ref="F15:F16"/>
    <mergeCell ref="G15:G16"/>
    <mergeCell ref="E15:E16"/>
    <mergeCell ref="D15:D16"/>
    <mergeCell ref="F17:F18"/>
    <mergeCell ref="F26:F27"/>
    <mergeCell ref="G26:G27"/>
    <mergeCell ref="D26:D27"/>
    <mergeCell ref="E175:G175"/>
    <mergeCell ref="E174:G174"/>
    <mergeCell ref="B163:D163"/>
    <mergeCell ref="A191:Q191"/>
    <mergeCell ref="G155:G156"/>
    <mergeCell ref="F155:F156"/>
    <mergeCell ref="A146:A147"/>
    <mergeCell ref="F146:F147"/>
    <mergeCell ref="O183:P183"/>
    <mergeCell ref="A190:Q190"/>
    <mergeCell ref="O164:P164"/>
    <mergeCell ref="A189:Q189"/>
    <mergeCell ref="A188:Q188"/>
    <mergeCell ref="A187:Q187"/>
    <mergeCell ref="A186:Q186"/>
    <mergeCell ref="A159:A160"/>
    <mergeCell ref="C159:C160"/>
    <mergeCell ref="F159:F160"/>
    <mergeCell ref="E182:G182"/>
    <mergeCell ref="C146:C147"/>
    <mergeCell ref="O179:P179"/>
    <mergeCell ref="D157:D158"/>
    <mergeCell ref="E157:E158"/>
    <mergeCell ref="L155:L156"/>
    <mergeCell ref="E165:G165"/>
    <mergeCell ref="D155:D156"/>
    <mergeCell ref="A150:A151"/>
    <mergeCell ref="O3:P3"/>
    <mergeCell ref="L3:M3"/>
    <mergeCell ref="G5:G6"/>
    <mergeCell ref="O5:O6"/>
    <mergeCell ref="M5:M6"/>
    <mergeCell ref="P5:P6"/>
    <mergeCell ref="A5:A6"/>
    <mergeCell ref="L5:L6"/>
    <mergeCell ref="C5:D5"/>
    <mergeCell ref="H5:H6"/>
    <mergeCell ref="E5:F5"/>
    <mergeCell ref="J5:J6"/>
    <mergeCell ref="G46:G47"/>
    <mergeCell ref="E46:E47"/>
    <mergeCell ref="F112:F113"/>
    <mergeCell ref="E139:E140"/>
    <mergeCell ref="F139:F140"/>
    <mergeCell ref="A50:Q50"/>
    <mergeCell ref="A51:A52"/>
    <mergeCell ref="C51:C52"/>
    <mergeCell ref="D51:D52"/>
    <mergeCell ref="A138:Q138"/>
    <mergeCell ref="A139:A140"/>
    <mergeCell ref="C139:C140"/>
    <mergeCell ref="A136:Q136"/>
    <mergeCell ref="G112:G113"/>
    <mergeCell ref="I132:I133"/>
    <mergeCell ref="E130:E131"/>
    <mergeCell ref="F130:F131"/>
    <mergeCell ref="G130:G131"/>
    <mergeCell ref="L130:L131"/>
    <mergeCell ref="I130:I131"/>
    <mergeCell ref="A134:A135"/>
    <mergeCell ref="C134:C135"/>
    <mergeCell ref="D134:D135"/>
    <mergeCell ref="E134:E135"/>
    <mergeCell ref="A132:A133"/>
    <mergeCell ref="C132:C133"/>
    <mergeCell ref="D132:D133"/>
    <mergeCell ref="E132:E133"/>
    <mergeCell ref="L139:L140"/>
    <mergeCell ref="D112:D113"/>
    <mergeCell ref="D139:D140"/>
    <mergeCell ref="C112:C113"/>
    <mergeCell ref="I139:I140"/>
    <mergeCell ref="Q5:Q6"/>
    <mergeCell ref="N5:N6"/>
    <mergeCell ref="K5:K6"/>
    <mergeCell ref="I5:I6"/>
    <mergeCell ref="F108:F109"/>
    <mergeCell ref="F134:F135"/>
    <mergeCell ref="G134:G135"/>
    <mergeCell ref="L134:L135"/>
    <mergeCell ref="I134:I135"/>
    <mergeCell ref="F132:F133"/>
    <mergeCell ref="G132:G133"/>
    <mergeCell ref="L132:L133"/>
    <mergeCell ref="G108:G109"/>
    <mergeCell ref="A127:Q127"/>
    <mergeCell ref="A129:Q129"/>
    <mergeCell ref="A130:A131"/>
    <mergeCell ref="C130:C131"/>
    <mergeCell ref="D130:D131"/>
    <mergeCell ref="C108:C109"/>
    <mergeCell ref="A97:Q97"/>
    <mergeCell ref="A99:Q99"/>
    <mergeCell ref="A100:A101"/>
    <mergeCell ref="A53:A54"/>
    <mergeCell ref="C53:C54"/>
    <mergeCell ref="I141:I142"/>
    <mergeCell ref="L141:L142"/>
    <mergeCell ref="A141:A142"/>
    <mergeCell ref="G42:G43"/>
    <mergeCell ref="C42:C43"/>
    <mergeCell ref="F42:F43"/>
    <mergeCell ref="C141:C142"/>
    <mergeCell ref="D141:D142"/>
    <mergeCell ref="E141:E142"/>
    <mergeCell ref="F141:F142"/>
    <mergeCell ref="G139:G140"/>
    <mergeCell ref="G141:G142"/>
    <mergeCell ref="L51:L52"/>
    <mergeCell ref="F46:F47"/>
    <mergeCell ref="A46:A47"/>
    <mergeCell ref="E44:E45"/>
    <mergeCell ref="E108:E109"/>
    <mergeCell ref="A108:A109"/>
    <mergeCell ref="D108:D109"/>
    <mergeCell ref="I110:I111"/>
    <mergeCell ref="I112:I113"/>
    <mergeCell ref="E110:E111"/>
    <mergeCell ref="D110:D111"/>
    <mergeCell ref="F110:F111"/>
    <mergeCell ref="I24:I25"/>
    <mergeCell ref="I26:I27"/>
    <mergeCell ref="L24:L25"/>
    <mergeCell ref="I51:I52"/>
    <mergeCell ref="F44:F45"/>
    <mergeCell ref="C46:C47"/>
    <mergeCell ref="L46:L47"/>
    <mergeCell ref="D46:D47"/>
    <mergeCell ref="A110:A111"/>
    <mergeCell ref="D42:D43"/>
    <mergeCell ref="L110:L111"/>
    <mergeCell ref="E104:E105"/>
    <mergeCell ref="F104:F105"/>
    <mergeCell ref="G104:G105"/>
    <mergeCell ref="I104:I105"/>
    <mergeCell ref="L104:L105"/>
    <mergeCell ref="D106:D107"/>
    <mergeCell ref="E106:E107"/>
    <mergeCell ref="F106:F107"/>
    <mergeCell ref="G106:G107"/>
    <mergeCell ref="I106:I107"/>
    <mergeCell ref="L106:L107"/>
    <mergeCell ref="A102:A103"/>
    <mergeCell ref="C102:C103"/>
    <mergeCell ref="L146:L147"/>
    <mergeCell ref="L148:L149"/>
    <mergeCell ref="F19:F20"/>
    <mergeCell ref="D19:D20"/>
    <mergeCell ref="E148:E149"/>
    <mergeCell ref="D146:D147"/>
    <mergeCell ref="A157:A158"/>
    <mergeCell ref="C19:C20"/>
    <mergeCell ref="C150:C151"/>
    <mergeCell ref="C148:C149"/>
    <mergeCell ref="F150:F151"/>
    <mergeCell ref="L150:L151"/>
    <mergeCell ref="A155:A156"/>
    <mergeCell ref="E150:E151"/>
    <mergeCell ref="E155:E156"/>
    <mergeCell ref="A154:Q154"/>
    <mergeCell ref="A152:Q152"/>
    <mergeCell ref="A143:Q143"/>
    <mergeCell ref="A19:A20"/>
    <mergeCell ref="L19:L20"/>
    <mergeCell ref="A66:A67"/>
    <mergeCell ref="C66:C67"/>
    <mergeCell ref="C104:C105"/>
    <mergeCell ref="D104:D105"/>
    <mergeCell ref="O168:P168"/>
    <mergeCell ref="B169:D169"/>
    <mergeCell ref="E169:G169"/>
    <mergeCell ref="O175:P175"/>
    <mergeCell ref="C155:C156"/>
    <mergeCell ref="E164:G164"/>
    <mergeCell ref="L157:L158"/>
    <mergeCell ref="C157:C158"/>
    <mergeCell ref="G157:G158"/>
    <mergeCell ref="F157:F158"/>
    <mergeCell ref="L159:L160"/>
    <mergeCell ref="B165:D165"/>
    <mergeCell ref="O166:P166"/>
    <mergeCell ref="B167:D167"/>
    <mergeCell ref="O165:P165"/>
    <mergeCell ref="I159:I160"/>
    <mergeCell ref="B166:D166"/>
    <mergeCell ref="E166:G166"/>
    <mergeCell ref="O169:P169"/>
    <mergeCell ref="E167:G167"/>
    <mergeCell ref="O167:P167"/>
    <mergeCell ref="O163:P163"/>
    <mergeCell ref="B164:D164"/>
    <mergeCell ref="E163:G163"/>
    <mergeCell ref="A106:A107"/>
    <mergeCell ref="C106:C107"/>
    <mergeCell ref="O180:P180"/>
    <mergeCell ref="O177:P177"/>
    <mergeCell ref="O178:P178"/>
    <mergeCell ref="B183:D183"/>
    <mergeCell ref="B184:D184"/>
    <mergeCell ref="B175:D175"/>
    <mergeCell ref="B177:D177"/>
    <mergeCell ref="B178:D178"/>
    <mergeCell ref="B179:D179"/>
    <mergeCell ref="B180:D180"/>
    <mergeCell ref="B181:D181"/>
    <mergeCell ref="B182:D182"/>
    <mergeCell ref="E177:G180"/>
    <mergeCell ref="O176:P176"/>
    <mergeCell ref="O184:P184"/>
    <mergeCell ref="O182:P182"/>
    <mergeCell ref="E181:G181"/>
    <mergeCell ref="O181:P181"/>
    <mergeCell ref="B176:D176"/>
    <mergeCell ref="E176:G176"/>
    <mergeCell ref="E183:G183"/>
    <mergeCell ref="E184:G184"/>
    <mergeCell ref="L102:L103"/>
    <mergeCell ref="A104:A105"/>
    <mergeCell ref="I150:I151"/>
    <mergeCell ref="I155:I156"/>
    <mergeCell ref="I157:I158"/>
    <mergeCell ref="G19:G20"/>
    <mergeCell ref="G146:G147"/>
    <mergeCell ref="D150:D151"/>
    <mergeCell ref="I148:I149"/>
    <mergeCell ref="E146:E147"/>
    <mergeCell ref="G150:G151"/>
    <mergeCell ref="I146:I147"/>
    <mergeCell ref="A145:Q145"/>
    <mergeCell ref="A148:A149"/>
    <mergeCell ref="F148:F149"/>
    <mergeCell ref="G148:G149"/>
    <mergeCell ref="D148:D149"/>
    <mergeCell ref="C100:C101"/>
    <mergeCell ref="D100:D101"/>
    <mergeCell ref="E100:E101"/>
    <mergeCell ref="F100:F101"/>
    <mergeCell ref="G100:G101"/>
    <mergeCell ref="I100:I101"/>
    <mergeCell ref="L100:L101"/>
  </mergeCells>
  <phoneticPr fontId="0" type="noConversion"/>
  <conditionalFormatting sqref="A177:A179">
    <cfRule type="duplicateValues" dxfId="212" priority="35" stopIfTrue="1"/>
  </conditionalFormatting>
  <conditionalFormatting sqref="A182">
    <cfRule type="duplicateValues" dxfId="211" priority="34" stopIfTrue="1"/>
  </conditionalFormatting>
  <conditionalFormatting sqref="A180">
    <cfRule type="duplicateValues" dxfId="210" priority="32" stopIfTrue="1"/>
  </conditionalFormatting>
  <conditionalFormatting sqref="A181">
    <cfRule type="duplicateValues" dxfId="209" priority="31" stopIfTrue="1"/>
  </conditionalFormatting>
  <conditionalFormatting sqref="A183">
    <cfRule type="duplicateValues" dxfId="208" priority="29" stopIfTrue="1"/>
  </conditionalFormatting>
  <conditionalFormatting sqref="A184">
    <cfRule type="duplicateValues" dxfId="207" priority="37" stopIfTrue="1"/>
  </conditionalFormatting>
  <conditionalFormatting sqref="A176">
    <cfRule type="duplicateValues" dxfId="206" priority="38" stopIfTrue="1"/>
  </conditionalFormatting>
  <conditionalFormatting sqref="A168 A166">
    <cfRule type="duplicateValues" dxfId="205" priority="26" stopIfTrue="1"/>
  </conditionalFormatting>
  <conditionalFormatting sqref="A171:A172">
    <cfRule type="duplicateValues" dxfId="204" priority="24" stopIfTrue="1"/>
  </conditionalFormatting>
  <conditionalFormatting sqref="A169:A170">
    <cfRule type="duplicateValues" dxfId="203" priority="249" stopIfTrue="1"/>
  </conditionalFormatting>
  <conditionalFormatting sqref="A175">
    <cfRule type="duplicateValues" dxfId="202" priority="22" stopIfTrue="1"/>
  </conditionalFormatting>
  <conditionalFormatting sqref="A164:A165">
    <cfRule type="duplicateValues" dxfId="201" priority="4" stopIfTrue="1"/>
  </conditionalFormatting>
  <conditionalFormatting sqref="A174">
    <cfRule type="duplicateValues" dxfId="200" priority="2" stopIfTrue="1"/>
  </conditionalFormatting>
  <conditionalFormatting sqref="A173">
    <cfRule type="duplicateValues" dxfId="199" priority="382" stopIfTrue="1"/>
  </conditionalFormatting>
  <conditionalFormatting sqref="A167">
    <cfRule type="duplicateValues" dxfId="198" priority="385" stopIfTrue="1"/>
  </conditionalFormatting>
  <hyperlinks>
    <hyperlink ref="A186" r:id="rId2"/>
    <hyperlink ref="S1" r:id="rId3" display="Сплит-системы бытового назначения"/>
  </hyperlinks>
  <pageMargins left="0.25" right="0.25" top="0.75" bottom="0.75" header="0.3" footer="0.3"/>
  <pageSetup paperSize="9" scale="41" fitToHeight="6" orientation="portrait" r:id="rId4"/>
  <headerFooter alignWithMargins="0"/>
  <rowBreaks count="2" manualBreakCount="2">
    <brk id="11" max="15" man="1"/>
    <brk id="161" max="15" man="1"/>
  </rowBrea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60"/>
  <sheetViews>
    <sheetView zoomScale="70" zoomScaleNormal="70" zoomScaleSheetLayoutView="75" workbookViewId="0">
      <pane ySplit="7" topLeftCell="A8" activePane="bottomLeft" state="frozen"/>
      <selection pane="bottomLeft"/>
    </sheetView>
  </sheetViews>
  <sheetFormatPr defaultColWidth="9.08984375" defaultRowHeight="12.5"/>
  <cols>
    <col min="1" max="1" width="23" style="7" customWidth="1"/>
    <col min="2" max="2" width="18.36328125" style="7" customWidth="1"/>
    <col min="3" max="4" width="9.6328125" style="7" customWidth="1"/>
    <col min="5" max="6" width="13.08984375" style="7" customWidth="1"/>
    <col min="7" max="7" width="12.453125" style="7" customWidth="1"/>
    <col min="8" max="9" width="11.54296875" style="7" customWidth="1"/>
    <col min="10" max="10" width="7.6328125" style="7" customWidth="1"/>
    <col min="11" max="11" width="8.08984375" style="7" customWidth="1"/>
    <col min="12" max="12" width="12.90625" style="7" customWidth="1"/>
    <col min="13" max="14" width="11.6328125" style="7" customWidth="1"/>
    <col min="15" max="15" width="18.90625" style="56" customWidth="1"/>
    <col min="16" max="16" width="9.08984375" style="7" customWidth="1"/>
    <col min="17" max="17" width="7.6328125" style="7" customWidth="1"/>
    <col min="18" max="44" width="9.08984375" style="57" customWidth="1"/>
    <col min="45" max="16384" width="9.08984375" style="7"/>
  </cols>
  <sheetData>
    <row r="1" spans="1:53" ht="45" customHeight="1">
      <c r="A1" s="385"/>
      <c r="B1" s="386"/>
      <c r="C1" s="387"/>
      <c r="D1" s="386"/>
      <c r="E1" s="388"/>
      <c r="F1" s="386"/>
      <c r="G1" s="389"/>
      <c r="H1" s="386"/>
      <c r="I1" s="386"/>
      <c r="J1" s="386"/>
      <c r="K1" s="390"/>
      <c r="L1" s="390"/>
      <c r="M1" s="390"/>
      <c r="N1" s="390"/>
      <c r="O1" s="390"/>
      <c r="P1" s="391" t="s">
        <v>486</v>
      </c>
      <c r="Q1" s="392"/>
      <c r="AS1" s="57"/>
      <c r="AT1" s="57"/>
      <c r="AU1" s="57"/>
      <c r="AV1" s="57"/>
      <c r="AW1" s="57"/>
    </row>
    <row r="2" spans="1:53" ht="15" customHeight="1" thickBot="1">
      <c r="A2" s="393"/>
      <c r="B2" s="203"/>
      <c r="C2" s="204"/>
      <c r="D2" s="205"/>
      <c r="E2" s="203"/>
      <c r="F2" s="203"/>
      <c r="G2" s="203"/>
      <c r="H2" s="203"/>
      <c r="I2" s="203"/>
      <c r="J2" s="203"/>
      <c r="K2" s="206"/>
      <c r="L2" s="206"/>
      <c r="M2" s="206"/>
      <c r="N2" s="207"/>
      <c r="O2" s="206"/>
      <c r="P2" s="208"/>
      <c r="Q2" s="394"/>
      <c r="AS2" s="57"/>
      <c r="AT2" s="57"/>
      <c r="AU2" s="57"/>
      <c r="AV2" s="57"/>
      <c r="AW2" s="57"/>
    </row>
    <row r="3" spans="1:53" ht="20" customHeight="1" thickBot="1">
      <c r="A3" s="395"/>
      <c r="B3" s="70"/>
      <c r="C3" s="70"/>
      <c r="D3" s="327" t="s">
        <v>1289</v>
      </c>
      <c r="E3" s="131">
        <v>0.35</v>
      </c>
      <c r="F3" s="70"/>
      <c r="G3" s="70"/>
      <c r="H3" s="328"/>
      <c r="I3" s="347"/>
      <c r="J3" s="325" t="s">
        <v>480</v>
      </c>
      <c r="K3" s="322">
        <f>SUM(N10:N205)</f>
        <v>0</v>
      </c>
      <c r="L3" s="570" t="s">
        <v>900</v>
      </c>
      <c r="M3" s="570"/>
      <c r="N3" s="134">
        <f>SUMPRODUCT(J10:J205,P10:P205)</f>
        <v>0</v>
      </c>
      <c r="O3" s="570" t="s">
        <v>478</v>
      </c>
      <c r="P3" s="570"/>
      <c r="Q3" s="396">
        <f>SUMPRODUCT(J10:J205,Q10:Q205)</f>
        <v>0</v>
      </c>
      <c r="AS3" s="57"/>
      <c r="AT3" s="57"/>
      <c r="AU3" s="57"/>
      <c r="AV3" s="57"/>
      <c r="AW3" s="57"/>
    </row>
    <row r="4" spans="1:53" s="56" customFormat="1" ht="10.25" customHeight="1">
      <c r="A4" s="397"/>
      <c r="B4" s="191"/>
      <c r="C4" s="117"/>
      <c r="D4" s="192"/>
      <c r="E4" s="192"/>
      <c r="F4" s="192"/>
      <c r="G4" s="192"/>
      <c r="H4" s="193"/>
      <c r="I4" s="193"/>
      <c r="J4" s="117"/>
      <c r="K4" s="117"/>
      <c r="L4" s="117"/>
      <c r="M4" s="117"/>
      <c r="N4" s="117"/>
      <c r="O4" s="117"/>
      <c r="P4" s="117"/>
      <c r="Q4" s="398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 ht="21" customHeight="1">
      <c r="A5" s="634" t="s">
        <v>47</v>
      </c>
      <c r="B5" s="343" t="s">
        <v>26</v>
      </c>
      <c r="C5" s="577" t="s">
        <v>48</v>
      </c>
      <c r="D5" s="577"/>
      <c r="E5" s="577" t="s">
        <v>85</v>
      </c>
      <c r="F5" s="577"/>
      <c r="G5" s="571" t="s">
        <v>492</v>
      </c>
      <c r="H5" s="578" t="s">
        <v>493</v>
      </c>
      <c r="I5" s="636" t="s">
        <v>740</v>
      </c>
      <c r="J5" s="580" t="s">
        <v>28</v>
      </c>
      <c r="K5" s="561" t="s">
        <v>22</v>
      </c>
      <c r="L5" s="559" t="s">
        <v>490</v>
      </c>
      <c r="M5" s="573" t="s">
        <v>491</v>
      </c>
      <c r="N5" s="559" t="s">
        <v>27</v>
      </c>
      <c r="O5" s="572" t="s">
        <v>318</v>
      </c>
      <c r="P5" s="572" t="s">
        <v>23</v>
      </c>
      <c r="Q5" s="635" t="s">
        <v>24</v>
      </c>
    </row>
    <row r="6" spans="1:53" ht="17.399999999999999" customHeight="1">
      <c r="A6" s="634"/>
      <c r="B6" s="343" t="s">
        <v>25</v>
      </c>
      <c r="C6" s="577" t="s">
        <v>49</v>
      </c>
      <c r="D6" s="577" t="s">
        <v>50</v>
      </c>
      <c r="E6" s="577" t="s">
        <v>86</v>
      </c>
      <c r="F6" s="577" t="s">
        <v>87</v>
      </c>
      <c r="G6" s="571"/>
      <c r="H6" s="578"/>
      <c r="I6" s="636"/>
      <c r="J6" s="580"/>
      <c r="K6" s="561"/>
      <c r="L6" s="559"/>
      <c r="M6" s="573"/>
      <c r="N6" s="559"/>
      <c r="O6" s="572"/>
      <c r="P6" s="572"/>
      <c r="Q6" s="635"/>
    </row>
    <row r="7" spans="1:53" ht="27.65" customHeight="1">
      <c r="A7" s="634"/>
      <c r="B7" s="341" t="s">
        <v>110</v>
      </c>
      <c r="C7" s="577"/>
      <c r="D7" s="577"/>
      <c r="E7" s="577"/>
      <c r="F7" s="577"/>
      <c r="G7" s="571"/>
      <c r="H7" s="578"/>
      <c r="I7" s="636"/>
      <c r="J7" s="580"/>
      <c r="K7" s="561"/>
      <c r="L7" s="559"/>
      <c r="M7" s="573"/>
      <c r="N7" s="559"/>
      <c r="O7" s="572"/>
      <c r="P7" s="572"/>
      <c r="Q7" s="635"/>
    </row>
    <row r="8" spans="1:53" ht="47.25" customHeight="1">
      <c r="A8" s="652" t="s">
        <v>984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149"/>
      <c r="O8" s="150"/>
      <c r="P8" s="150"/>
      <c r="Q8" s="399"/>
      <c r="T8" s="92"/>
    </row>
    <row r="9" spans="1:53" ht="36.75" customHeight="1">
      <c r="A9" s="537" t="s">
        <v>985</v>
      </c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9"/>
      <c r="T9" s="92"/>
    </row>
    <row r="10" spans="1:53" ht="15" customHeight="1">
      <c r="A10" s="530" t="s">
        <v>585</v>
      </c>
      <c r="B10" s="135" t="s">
        <v>586</v>
      </c>
      <c r="C10" s="633" t="s">
        <v>986</v>
      </c>
      <c r="D10" s="633" t="s">
        <v>987</v>
      </c>
      <c r="E10" s="555" t="s">
        <v>145</v>
      </c>
      <c r="F10" s="555" t="s">
        <v>603</v>
      </c>
      <c r="G10" s="631">
        <f>H10+H11+H12</f>
        <v>3504</v>
      </c>
      <c r="H10" s="146">
        <v>1388</v>
      </c>
      <c r="I10" s="532">
        <v>237100</v>
      </c>
      <c r="J10" s="170"/>
      <c r="K10" s="145">
        <f t="shared" ref="K10:K27" si="0">$E$3</f>
        <v>0.35</v>
      </c>
      <c r="L10" s="550">
        <f>SUM(G10-(G10*K10))</f>
        <v>2277.6000000000004</v>
      </c>
      <c r="M10" s="146">
        <f t="shared" ref="M10:M27" si="1">SUM(H10-(H10*K10))</f>
        <v>902.2</v>
      </c>
      <c r="N10" s="358">
        <f t="shared" ref="N10:N27" si="2">J10*M10</f>
        <v>0</v>
      </c>
      <c r="O10" s="338" t="s">
        <v>636</v>
      </c>
      <c r="P10" s="336">
        <v>0.27</v>
      </c>
      <c r="Q10" s="370">
        <v>29</v>
      </c>
      <c r="T10" s="92"/>
    </row>
    <row r="11" spans="1:53" ht="15" customHeight="1">
      <c r="A11" s="530"/>
      <c r="B11" s="135" t="s">
        <v>587</v>
      </c>
      <c r="C11" s="540"/>
      <c r="D11" s="540"/>
      <c r="E11" s="555"/>
      <c r="F11" s="555"/>
      <c r="G11" s="631"/>
      <c r="H11" s="146">
        <v>1792</v>
      </c>
      <c r="I11" s="532"/>
      <c r="J11" s="170"/>
      <c r="K11" s="145">
        <f t="shared" si="0"/>
        <v>0.35</v>
      </c>
      <c r="L11" s="550"/>
      <c r="M11" s="146">
        <f t="shared" si="1"/>
        <v>1164.8000000000002</v>
      </c>
      <c r="N11" s="358">
        <f t="shared" si="2"/>
        <v>0</v>
      </c>
      <c r="O11" s="338" t="s">
        <v>323</v>
      </c>
      <c r="P11" s="336">
        <v>0.249</v>
      </c>
      <c r="Q11" s="370">
        <v>45</v>
      </c>
      <c r="T11" s="92"/>
    </row>
    <row r="12" spans="1:53" ht="15" customHeight="1">
      <c r="A12" s="530"/>
      <c r="B12" s="135" t="s">
        <v>1270</v>
      </c>
      <c r="C12" s="540"/>
      <c r="D12" s="540"/>
      <c r="E12" s="555"/>
      <c r="F12" s="555"/>
      <c r="G12" s="631"/>
      <c r="H12" s="146">
        <v>324</v>
      </c>
      <c r="I12" s="532"/>
      <c r="J12" s="170"/>
      <c r="K12" s="145">
        <f t="shared" si="0"/>
        <v>0.35</v>
      </c>
      <c r="L12" s="550"/>
      <c r="M12" s="146">
        <f t="shared" si="1"/>
        <v>210.60000000000002</v>
      </c>
      <c r="N12" s="358">
        <f t="shared" si="2"/>
        <v>0</v>
      </c>
      <c r="O12" s="338" t="s">
        <v>637</v>
      </c>
      <c r="P12" s="336">
        <v>0.14199999999999999</v>
      </c>
      <c r="Q12" s="370">
        <v>10.5</v>
      </c>
      <c r="T12" s="92"/>
    </row>
    <row r="13" spans="1:53" ht="15" customHeight="1">
      <c r="A13" s="530" t="s">
        <v>588</v>
      </c>
      <c r="B13" s="135" t="s">
        <v>593</v>
      </c>
      <c r="C13" s="632" t="s">
        <v>988</v>
      </c>
      <c r="D13" s="632" t="s">
        <v>989</v>
      </c>
      <c r="E13" s="535" t="s">
        <v>604</v>
      </c>
      <c r="F13" s="535" t="s">
        <v>605</v>
      </c>
      <c r="G13" s="631">
        <f>H13+H14+H15</f>
        <v>3950</v>
      </c>
      <c r="H13" s="146">
        <v>1429</v>
      </c>
      <c r="I13" s="532">
        <v>267300</v>
      </c>
      <c r="J13" s="170"/>
      <c r="K13" s="145">
        <f t="shared" si="0"/>
        <v>0.35</v>
      </c>
      <c r="L13" s="550">
        <f>SUM(G13-(G13*K13))</f>
        <v>2567.5</v>
      </c>
      <c r="M13" s="146">
        <f t="shared" si="1"/>
        <v>928.85</v>
      </c>
      <c r="N13" s="358">
        <f t="shared" si="2"/>
        <v>0</v>
      </c>
      <c r="O13" s="338" t="s">
        <v>636</v>
      </c>
      <c r="P13" s="336">
        <v>0.27</v>
      </c>
      <c r="Q13" s="370">
        <v>29</v>
      </c>
      <c r="T13" s="92"/>
    </row>
    <row r="14" spans="1:53" ht="15" customHeight="1">
      <c r="A14" s="530"/>
      <c r="B14" s="135" t="s">
        <v>594</v>
      </c>
      <c r="C14" s="543"/>
      <c r="D14" s="543"/>
      <c r="E14" s="535"/>
      <c r="F14" s="535"/>
      <c r="G14" s="631"/>
      <c r="H14" s="146">
        <v>2197</v>
      </c>
      <c r="I14" s="532"/>
      <c r="J14" s="170"/>
      <c r="K14" s="145">
        <f t="shared" si="0"/>
        <v>0.35</v>
      </c>
      <c r="L14" s="550"/>
      <c r="M14" s="146">
        <f t="shared" si="1"/>
        <v>1428.0500000000002</v>
      </c>
      <c r="N14" s="358">
        <f t="shared" si="2"/>
        <v>0</v>
      </c>
      <c r="O14" s="338" t="s">
        <v>323</v>
      </c>
      <c r="P14" s="336">
        <v>0.249</v>
      </c>
      <c r="Q14" s="370">
        <v>45</v>
      </c>
      <c r="T14" s="92"/>
    </row>
    <row r="15" spans="1:53" ht="15" customHeight="1">
      <c r="A15" s="530"/>
      <c r="B15" s="135" t="s">
        <v>1270</v>
      </c>
      <c r="C15" s="543"/>
      <c r="D15" s="543"/>
      <c r="E15" s="535"/>
      <c r="F15" s="535"/>
      <c r="G15" s="631"/>
      <c r="H15" s="146">
        <v>324</v>
      </c>
      <c r="I15" s="532"/>
      <c r="J15" s="170"/>
      <c r="K15" s="145">
        <f t="shared" si="0"/>
        <v>0.35</v>
      </c>
      <c r="L15" s="550"/>
      <c r="M15" s="146">
        <f t="shared" si="1"/>
        <v>210.60000000000002</v>
      </c>
      <c r="N15" s="358">
        <f t="shared" si="2"/>
        <v>0</v>
      </c>
      <c r="O15" s="338" t="s">
        <v>637</v>
      </c>
      <c r="P15" s="336">
        <v>0.14199999999999999</v>
      </c>
      <c r="Q15" s="370">
        <v>10.5</v>
      </c>
      <c r="T15" s="92"/>
    </row>
    <row r="16" spans="1:53" ht="15" customHeight="1">
      <c r="A16" s="530" t="s">
        <v>589</v>
      </c>
      <c r="B16" s="135" t="s">
        <v>595</v>
      </c>
      <c r="C16" s="543" t="s">
        <v>990</v>
      </c>
      <c r="D16" s="543" t="s">
        <v>991</v>
      </c>
      <c r="E16" s="535" t="s">
        <v>606</v>
      </c>
      <c r="F16" s="535" t="s">
        <v>116</v>
      </c>
      <c r="G16" s="631">
        <f>H16+H17+H18</f>
        <v>4632</v>
      </c>
      <c r="H16" s="351">
        <v>1839</v>
      </c>
      <c r="I16" s="532">
        <v>313400</v>
      </c>
      <c r="J16" s="170"/>
      <c r="K16" s="145">
        <f t="shared" si="0"/>
        <v>0.35</v>
      </c>
      <c r="L16" s="550">
        <f>SUM(G16-(G16*K16))</f>
        <v>3010.8</v>
      </c>
      <c r="M16" s="351">
        <f t="shared" si="1"/>
        <v>1195.3499999999999</v>
      </c>
      <c r="N16" s="358">
        <f t="shared" si="2"/>
        <v>0</v>
      </c>
      <c r="O16" s="338" t="s">
        <v>341</v>
      </c>
      <c r="P16" s="336">
        <v>0.31919999999999998</v>
      </c>
      <c r="Q16" s="370">
        <v>32</v>
      </c>
      <c r="T16" s="92"/>
    </row>
    <row r="17" spans="1:20" ht="15" customHeight="1">
      <c r="A17" s="530"/>
      <c r="B17" s="135" t="s">
        <v>596</v>
      </c>
      <c r="C17" s="543"/>
      <c r="D17" s="543"/>
      <c r="E17" s="535"/>
      <c r="F17" s="535"/>
      <c r="G17" s="631"/>
      <c r="H17" s="351">
        <v>2469</v>
      </c>
      <c r="I17" s="532"/>
      <c r="J17" s="170"/>
      <c r="K17" s="145">
        <f t="shared" si="0"/>
        <v>0.35</v>
      </c>
      <c r="L17" s="550"/>
      <c r="M17" s="351">
        <f t="shared" si="1"/>
        <v>1604.85</v>
      </c>
      <c r="N17" s="358">
        <f t="shared" si="2"/>
        <v>0</v>
      </c>
      <c r="O17" s="338" t="s">
        <v>320</v>
      </c>
      <c r="P17" s="336">
        <v>0.45300000000000001</v>
      </c>
      <c r="Q17" s="370">
        <v>68</v>
      </c>
      <c r="T17" s="92"/>
    </row>
    <row r="18" spans="1:20" ht="15" customHeight="1">
      <c r="A18" s="530"/>
      <c r="B18" s="135" t="s">
        <v>1270</v>
      </c>
      <c r="C18" s="543"/>
      <c r="D18" s="543"/>
      <c r="E18" s="535"/>
      <c r="F18" s="535"/>
      <c r="G18" s="631"/>
      <c r="H18" s="351">
        <v>324</v>
      </c>
      <c r="I18" s="532"/>
      <c r="J18" s="170"/>
      <c r="K18" s="145">
        <f t="shared" si="0"/>
        <v>0.35</v>
      </c>
      <c r="L18" s="550"/>
      <c r="M18" s="351">
        <f t="shared" si="1"/>
        <v>210.60000000000002</v>
      </c>
      <c r="N18" s="358">
        <f t="shared" si="2"/>
        <v>0</v>
      </c>
      <c r="O18" s="338" t="s">
        <v>637</v>
      </c>
      <c r="P18" s="336">
        <v>0.14199999999999999</v>
      </c>
      <c r="Q18" s="370">
        <v>10.5</v>
      </c>
      <c r="T18" s="92"/>
    </row>
    <row r="19" spans="1:20" ht="15" customHeight="1">
      <c r="A19" s="530" t="s">
        <v>590</v>
      </c>
      <c r="B19" s="135" t="s">
        <v>597</v>
      </c>
      <c r="C19" s="632" t="s">
        <v>992</v>
      </c>
      <c r="D19" s="632" t="s">
        <v>993</v>
      </c>
      <c r="E19" s="535" t="s">
        <v>89</v>
      </c>
      <c r="F19" s="535" t="s">
        <v>133</v>
      </c>
      <c r="G19" s="631">
        <f>H19+H20+H21</f>
        <v>4941</v>
      </c>
      <c r="H19" s="351">
        <v>1912</v>
      </c>
      <c r="I19" s="532">
        <v>334200</v>
      </c>
      <c r="J19" s="170"/>
      <c r="K19" s="145">
        <f t="shared" si="0"/>
        <v>0.35</v>
      </c>
      <c r="L19" s="550">
        <f>SUM(G19-(G19*K19))</f>
        <v>3211.65</v>
      </c>
      <c r="M19" s="351">
        <f t="shared" si="1"/>
        <v>1242.8000000000002</v>
      </c>
      <c r="N19" s="358">
        <f t="shared" si="2"/>
        <v>0</v>
      </c>
      <c r="O19" s="338" t="s">
        <v>341</v>
      </c>
      <c r="P19" s="336">
        <v>0.31919999999999998</v>
      </c>
      <c r="Q19" s="370">
        <v>32</v>
      </c>
      <c r="T19" s="92"/>
    </row>
    <row r="20" spans="1:20" ht="15" customHeight="1">
      <c r="A20" s="530"/>
      <c r="B20" s="135" t="s">
        <v>598</v>
      </c>
      <c r="C20" s="543"/>
      <c r="D20" s="543"/>
      <c r="E20" s="535"/>
      <c r="F20" s="535"/>
      <c r="G20" s="631"/>
      <c r="H20" s="351">
        <v>2705</v>
      </c>
      <c r="I20" s="532"/>
      <c r="J20" s="170"/>
      <c r="K20" s="145">
        <f t="shared" si="0"/>
        <v>0.35</v>
      </c>
      <c r="L20" s="550"/>
      <c r="M20" s="351">
        <f t="shared" si="1"/>
        <v>1758.25</v>
      </c>
      <c r="N20" s="358">
        <f t="shared" si="2"/>
        <v>0</v>
      </c>
      <c r="O20" s="338" t="s">
        <v>320</v>
      </c>
      <c r="P20" s="336">
        <v>0.45300000000000001</v>
      </c>
      <c r="Q20" s="370">
        <v>68</v>
      </c>
      <c r="T20" s="92"/>
    </row>
    <row r="21" spans="1:20" ht="15" customHeight="1">
      <c r="A21" s="530"/>
      <c r="B21" s="135" t="s">
        <v>1270</v>
      </c>
      <c r="C21" s="543"/>
      <c r="D21" s="543"/>
      <c r="E21" s="535"/>
      <c r="F21" s="535"/>
      <c r="G21" s="631"/>
      <c r="H21" s="351">
        <v>324</v>
      </c>
      <c r="I21" s="532"/>
      <c r="J21" s="170"/>
      <c r="K21" s="145">
        <f t="shared" si="0"/>
        <v>0.35</v>
      </c>
      <c r="L21" s="550"/>
      <c r="M21" s="351">
        <f t="shared" si="1"/>
        <v>210.60000000000002</v>
      </c>
      <c r="N21" s="358">
        <f t="shared" si="2"/>
        <v>0</v>
      </c>
      <c r="O21" s="338" t="s">
        <v>637</v>
      </c>
      <c r="P21" s="336">
        <v>0.14199999999999999</v>
      </c>
      <c r="Q21" s="370">
        <v>10.5</v>
      </c>
      <c r="T21" s="92"/>
    </row>
    <row r="22" spans="1:20" ht="15" customHeight="1">
      <c r="A22" s="530" t="s">
        <v>591</v>
      </c>
      <c r="B22" s="135" t="s">
        <v>599</v>
      </c>
      <c r="C22" s="543" t="s">
        <v>994</v>
      </c>
      <c r="D22" s="543" t="s">
        <v>995</v>
      </c>
      <c r="E22" s="535" t="s">
        <v>241</v>
      </c>
      <c r="F22" s="535" t="s">
        <v>607</v>
      </c>
      <c r="G22" s="631">
        <f>H22+H23+H24</f>
        <v>5268</v>
      </c>
      <c r="H22" s="351">
        <v>1971</v>
      </c>
      <c r="I22" s="532">
        <v>356300</v>
      </c>
      <c r="J22" s="170"/>
      <c r="K22" s="145">
        <f t="shared" si="0"/>
        <v>0.35</v>
      </c>
      <c r="L22" s="550">
        <f>SUM(G22-(G22*K22))</f>
        <v>3424.2</v>
      </c>
      <c r="M22" s="351">
        <f t="shared" si="1"/>
        <v>1281.1500000000001</v>
      </c>
      <c r="N22" s="358">
        <f t="shared" si="2"/>
        <v>0</v>
      </c>
      <c r="O22" s="338" t="s">
        <v>341</v>
      </c>
      <c r="P22" s="336">
        <v>0.31919999999999998</v>
      </c>
      <c r="Q22" s="370">
        <v>34</v>
      </c>
      <c r="T22" s="92"/>
    </row>
    <row r="23" spans="1:20" ht="15" customHeight="1">
      <c r="A23" s="530"/>
      <c r="B23" s="135" t="s">
        <v>600</v>
      </c>
      <c r="C23" s="543"/>
      <c r="D23" s="543"/>
      <c r="E23" s="535"/>
      <c r="F23" s="535"/>
      <c r="G23" s="631"/>
      <c r="H23" s="351">
        <v>2973</v>
      </c>
      <c r="I23" s="532"/>
      <c r="J23" s="170"/>
      <c r="K23" s="145">
        <f t="shared" si="0"/>
        <v>0.35</v>
      </c>
      <c r="L23" s="550"/>
      <c r="M23" s="351">
        <f t="shared" si="1"/>
        <v>1932.45</v>
      </c>
      <c r="N23" s="358">
        <f t="shared" si="2"/>
        <v>0</v>
      </c>
      <c r="O23" s="338" t="s">
        <v>334</v>
      </c>
      <c r="P23" s="336">
        <v>0.66800000000000004</v>
      </c>
      <c r="Q23" s="370">
        <v>94</v>
      </c>
      <c r="T23" s="92"/>
    </row>
    <row r="24" spans="1:20" ht="15" customHeight="1">
      <c r="A24" s="530"/>
      <c r="B24" s="135" t="s">
        <v>1270</v>
      </c>
      <c r="C24" s="543"/>
      <c r="D24" s="543"/>
      <c r="E24" s="535"/>
      <c r="F24" s="535"/>
      <c r="G24" s="631"/>
      <c r="H24" s="351">
        <v>324</v>
      </c>
      <c r="I24" s="532"/>
      <c r="J24" s="170"/>
      <c r="K24" s="145">
        <f t="shared" si="0"/>
        <v>0.35</v>
      </c>
      <c r="L24" s="550"/>
      <c r="M24" s="351">
        <f t="shared" si="1"/>
        <v>210.60000000000002</v>
      </c>
      <c r="N24" s="358">
        <f t="shared" si="2"/>
        <v>0</v>
      </c>
      <c r="O24" s="338" t="s">
        <v>637</v>
      </c>
      <c r="P24" s="336">
        <v>0.14199999999999999</v>
      </c>
      <c r="Q24" s="370">
        <v>10.5</v>
      </c>
      <c r="T24" s="92"/>
    </row>
    <row r="25" spans="1:20" ht="15" customHeight="1">
      <c r="A25" s="530" t="s">
        <v>592</v>
      </c>
      <c r="B25" s="135" t="s">
        <v>601</v>
      </c>
      <c r="C25" s="543" t="s">
        <v>996</v>
      </c>
      <c r="D25" s="543" t="s">
        <v>997</v>
      </c>
      <c r="E25" s="535" t="s">
        <v>608</v>
      </c>
      <c r="F25" s="535" t="s">
        <v>609</v>
      </c>
      <c r="G25" s="631">
        <f>H25+H26+H27</f>
        <v>6171</v>
      </c>
      <c r="H25" s="351">
        <v>2594</v>
      </c>
      <c r="I25" s="532">
        <v>417400</v>
      </c>
      <c r="J25" s="170"/>
      <c r="K25" s="145">
        <f t="shared" si="0"/>
        <v>0.35</v>
      </c>
      <c r="L25" s="550">
        <f>SUM(G25-(G25*K25))</f>
        <v>4011.15</v>
      </c>
      <c r="M25" s="351">
        <f t="shared" si="1"/>
        <v>1686.1</v>
      </c>
      <c r="N25" s="358">
        <f t="shared" si="2"/>
        <v>0</v>
      </c>
      <c r="O25" s="338" t="s">
        <v>341</v>
      </c>
      <c r="P25" s="336">
        <v>0.31919999999999998</v>
      </c>
      <c r="Q25" s="370">
        <v>34</v>
      </c>
      <c r="T25" s="92"/>
    </row>
    <row r="26" spans="1:20" ht="15" customHeight="1">
      <c r="A26" s="530"/>
      <c r="B26" s="135" t="s">
        <v>602</v>
      </c>
      <c r="C26" s="543"/>
      <c r="D26" s="543"/>
      <c r="E26" s="535"/>
      <c r="F26" s="535"/>
      <c r="G26" s="631"/>
      <c r="H26" s="351">
        <v>3253</v>
      </c>
      <c r="I26" s="532"/>
      <c r="J26" s="170"/>
      <c r="K26" s="145">
        <f t="shared" si="0"/>
        <v>0.35</v>
      </c>
      <c r="L26" s="550"/>
      <c r="M26" s="351">
        <f t="shared" si="1"/>
        <v>2114.4499999999998</v>
      </c>
      <c r="N26" s="358">
        <f t="shared" si="2"/>
        <v>0</v>
      </c>
      <c r="O26" s="338" t="s">
        <v>334</v>
      </c>
      <c r="P26" s="336">
        <v>0.66800000000000004</v>
      </c>
      <c r="Q26" s="370">
        <v>94</v>
      </c>
      <c r="T26" s="92"/>
    </row>
    <row r="27" spans="1:20" ht="15" customHeight="1">
      <c r="A27" s="530"/>
      <c r="B27" s="135" t="s">
        <v>1270</v>
      </c>
      <c r="C27" s="543"/>
      <c r="D27" s="543"/>
      <c r="E27" s="535"/>
      <c r="F27" s="535"/>
      <c r="G27" s="631"/>
      <c r="H27" s="351">
        <v>324</v>
      </c>
      <c r="I27" s="532"/>
      <c r="J27" s="170"/>
      <c r="K27" s="145">
        <f t="shared" si="0"/>
        <v>0.35</v>
      </c>
      <c r="L27" s="550"/>
      <c r="M27" s="351">
        <f t="shared" si="1"/>
        <v>210.60000000000002</v>
      </c>
      <c r="N27" s="358">
        <f t="shared" si="2"/>
        <v>0</v>
      </c>
      <c r="O27" s="338" t="s">
        <v>637</v>
      </c>
      <c r="P27" s="336">
        <v>0.14199999999999999</v>
      </c>
      <c r="Q27" s="370">
        <v>10.5</v>
      </c>
      <c r="T27" s="92"/>
    </row>
    <row r="28" spans="1:20" ht="47.25" customHeight="1">
      <c r="A28" s="652" t="s">
        <v>1155</v>
      </c>
      <c r="B28" s="653"/>
      <c r="C28" s="653"/>
      <c r="D28" s="653"/>
      <c r="E28" s="653"/>
      <c r="F28" s="653"/>
      <c r="G28" s="653"/>
      <c r="H28" s="653"/>
      <c r="I28" s="653"/>
      <c r="J28" s="653"/>
      <c r="K28" s="653"/>
      <c r="L28" s="653"/>
      <c r="M28" s="653"/>
      <c r="N28" s="149"/>
      <c r="O28" s="150"/>
      <c r="P28" s="150"/>
      <c r="Q28" s="399"/>
      <c r="T28" s="92"/>
    </row>
    <row r="29" spans="1:20" ht="36.75" customHeight="1">
      <c r="A29" s="537" t="s">
        <v>1154</v>
      </c>
      <c r="B29" s="538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9"/>
      <c r="T29" s="92"/>
    </row>
    <row r="30" spans="1:20" ht="15" customHeight="1">
      <c r="A30" s="530" t="s">
        <v>1157</v>
      </c>
      <c r="B30" s="135" t="s">
        <v>1156</v>
      </c>
      <c r="C30" s="633" t="s">
        <v>1003</v>
      </c>
      <c r="D30" s="633" t="s">
        <v>1004</v>
      </c>
      <c r="E30" s="555" t="s">
        <v>1174</v>
      </c>
      <c r="F30" s="555" t="s">
        <v>628</v>
      </c>
      <c r="G30" s="631">
        <f>H30+H31+H32</f>
        <v>2801</v>
      </c>
      <c r="H30" s="146">
        <v>1388</v>
      </c>
      <c r="I30" s="532">
        <v>189600</v>
      </c>
      <c r="J30" s="170"/>
      <c r="K30" s="145">
        <f t="shared" ref="K30:K59" si="3">$E$3</f>
        <v>0.35</v>
      </c>
      <c r="L30" s="550">
        <f>SUM(G30-(G30*K30))</f>
        <v>1820.65</v>
      </c>
      <c r="M30" s="146">
        <f t="shared" ref="M30:M59" si="4">SUM(H30-(H30*K30))</f>
        <v>902.2</v>
      </c>
      <c r="N30" s="358">
        <f t="shared" ref="N30:N59" si="5">J30*M30</f>
        <v>0</v>
      </c>
      <c r="O30" s="338" t="s">
        <v>636</v>
      </c>
      <c r="P30" s="336">
        <v>0.27</v>
      </c>
      <c r="Q30" s="370">
        <v>28</v>
      </c>
      <c r="T30" s="92"/>
    </row>
    <row r="31" spans="1:20" ht="15" customHeight="1">
      <c r="A31" s="530"/>
      <c r="B31" s="135" t="s">
        <v>1158</v>
      </c>
      <c r="C31" s="540"/>
      <c r="D31" s="540"/>
      <c r="E31" s="555"/>
      <c r="F31" s="555"/>
      <c r="G31" s="631"/>
      <c r="H31" s="146">
        <v>1089</v>
      </c>
      <c r="I31" s="532"/>
      <c r="J31" s="170"/>
      <c r="K31" s="145">
        <f t="shared" si="3"/>
        <v>0.35</v>
      </c>
      <c r="L31" s="550"/>
      <c r="M31" s="146">
        <f t="shared" si="4"/>
        <v>707.85</v>
      </c>
      <c r="N31" s="358">
        <f t="shared" si="5"/>
        <v>0</v>
      </c>
      <c r="O31" s="338" t="s">
        <v>888</v>
      </c>
      <c r="P31" s="336">
        <v>0.14599999999999999</v>
      </c>
      <c r="Q31" s="370">
        <v>40</v>
      </c>
      <c r="T31" s="92"/>
    </row>
    <row r="32" spans="1:20" ht="15" customHeight="1">
      <c r="A32" s="530"/>
      <c r="B32" s="135" t="s">
        <v>1270</v>
      </c>
      <c r="C32" s="540"/>
      <c r="D32" s="540"/>
      <c r="E32" s="555"/>
      <c r="F32" s="555"/>
      <c r="G32" s="631"/>
      <c r="H32" s="146">
        <v>324</v>
      </c>
      <c r="I32" s="532"/>
      <c r="J32" s="170"/>
      <c r="K32" s="145">
        <f t="shared" si="3"/>
        <v>0.35</v>
      </c>
      <c r="L32" s="550"/>
      <c r="M32" s="146">
        <f t="shared" si="4"/>
        <v>210.60000000000002</v>
      </c>
      <c r="N32" s="358">
        <f t="shared" si="5"/>
        <v>0</v>
      </c>
      <c r="O32" s="338" t="s">
        <v>637</v>
      </c>
      <c r="P32" s="336">
        <v>0.14199999999999999</v>
      </c>
      <c r="Q32" s="370">
        <v>10.5</v>
      </c>
      <c r="T32" s="92"/>
    </row>
    <row r="33" spans="1:20" ht="15" customHeight="1">
      <c r="A33" s="530" t="s">
        <v>1159</v>
      </c>
      <c r="B33" s="135" t="s">
        <v>1160</v>
      </c>
      <c r="C33" s="632" t="s">
        <v>1175</v>
      </c>
      <c r="D33" s="632" t="s">
        <v>1176</v>
      </c>
      <c r="E33" s="535" t="s">
        <v>1177</v>
      </c>
      <c r="F33" s="535" t="s">
        <v>121</v>
      </c>
      <c r="G33" s="631">
        <f>H33+H34+H35</f>
        <v>3377</v>
      </c>
      <c r="H33" s="146">
        <v>1408</v>
      </c>
      <c r="I33" s="532">
        <v>228500</v>
      </c>
      <c r="J33" s="170"/>
      <c r="K33" s="145">
        <f t="shared" si="3"/>
        <v>0.35</v>
      </c>
      <c r="L33" s="550">
        <f>SUM(G33-(G33*K33))</f>
        <v>2195.0500000000002</v>
      </c>
      <c r="M33" s="146">
        <f t="shared" si="4"/>
        <v>915.2</v>
      </c>
      <c r="N33" s="358">
        <f t="shared" si="5"/>
        <v>0</v>
      </c>
      <c r="O33" s="338" t="s">
        <v>636</v>
      </c>
      <c r="P33" s="336">
        <v>0.27</v>
      </c>
      <c r="Q33" s="370">
        <v>28</v>
      </c>
      <c r="T33" s="92"/>
    </row>
    <row r="34" spans="1:20" ht="15" customHeight="1">
      <c r="A34" s="530"/>
      <c r="B34" s="135" t="s">
        <v>1161</v>
      </c>
      <c r="C34" s="543"/>
      <c r="D34" s="543"/>
      <c r="E34" s="535"/>
      <c r="F34" s="535"/>
      <c r="G34" s="631"/>
      <c r="H34" s="146">
        <v>1645</v>
      </c>
      <c r="I34" s="532"/>
      <c r="J34" s="170"/>
      <c r="K34" s="145">
        <f t="shared" si="3"/>
        <v>0.35</v>
      </c>
      <c r="L34" s="550"/>
      <c r="M34" s="146">
        <f t="shared" si="4"/>
        <v>1069.25</v>
      </c>
      <c r="N34" s="358">
        <f t="shared" si="5"/>
        <v>0</v>
      </c>
      <c r="O34" s="338" t="s">
        <v>888</v>
      </c>
      <c r="P34" s="336">
        <v>0.14599999999999999</v>
      </c>
      <c r="Q34" s="370">
        <v>42</v>
      </c>
      <c r="T34" s="92"/>
    </row>
    <row r="35" spans="1:20" ht="15" customHeight="1">
      <c r="A35" s="530"/>
      <c r="B35" s="135" t="s">
        <v>1270</v>
      </c>
      <c r="C35" s="543"/>
      <c r="D35" s="543"/>
      <c r="E35" s="535"/>
      <c r="F35" s="535"/>
      <c r="G35" s="631"/>
      <c r="H35" s="146">
        <v>324</v>
      </c>
      <c r="I35" s="532"/>
      <c r="J35" s="170"/>
      <c r="K35" s="145">
        <f t="shared" si="3"/>
        <v>0.35</v>
      </c>
      <c r="L35" s="550"/>
      <c r="M35" s="146">
        <f t="shared" si="4"/>
        <v>210.60000000000002</v>
      </c>
      <c r="N35" s="358">
        <f t="shared" si="5"/>
        <v>0</v>
      </c>
      <c r="O35" s="338" t="s">
        <v>637</v>
      </c>
      <c r="P35" s="336">
        <v>0.14199999999999999</v>
      </c>
      <c r="Q35" s="370">
        <v>10.5</v>
      </c>
      <c r="T35" s="92"/>
    </row>
    <row r="36" spans="1:20" ht="15" customHeight="1">
      <c r="A36" s="530" t="s">
        <v>1162</v>
      </c>
      <c r="B36" s="135" t="s">
        <v>1163</v>
      </c>
      <c r="C36" s="632" t="s">
        <v>988</v>
      </c>
      <c r="D36" s="632" t="s">
        <v>1178</v>
      </c>
      <c r="E36" s="535" t="s">
        <v>242</v>
      </c>
      <c r="F36" s="535" t="s">
        <v>1180</v>
      </c>
      <c r="G36" s="631">
        <f>H36+H37+H38</f>
        <v>3691</v>
      </c>
      <c r="H36" s="146">
        <v>1429</v>
      </c>
      <c r="I36" s="532">
        <v>249800</v>
      </c>
      <c r="J36" s="170"/>
      <c r="K36" s="145">
        <f t="shared" si="3"/>
        <v>0.35</v>
      </c>
      <c r="L36" s="550">
        <f>SUM(G36-(G36*K36))</f>
        <v>2399.15</v>
      </c>
      <c r="M36" s="146">
        <f t="shared" si="4"/>
        <v>928.85</v>
      </c>
      <c r="N36" s="358">
        <f t="shared" si="5"/>
        <v>0</v>
      </c>
      <c r="O36" s="338" t="s">
        <v>636</v>
      </c>
      <c r="P36" s="336">
        <v>0.27</v>
      </c>
      <c r="Q36" s="370">
        <v>29</v>
      </c>
      <c r="T36" s="92"/>
    </row>
    <row r="37" spans="1:20" ht="15" customHeight="1">
      <c r="A37" s="530"/>
      <c r="B37" s="135" t="s">
        <v>1164</v>
      </c>
      <c r="C37" s="543"/>
      <c r="D37" s="543"/>
      <c r="E37" s="535"/>
      <c r="F37" s="535"/>
      <c r="G37" s="631"/>
      <c r="H37" s="146">
        <v>1938</v>
      </c>
      <c r="I37" s="532"/>
      <c r="J37" s="170"/>
      <c r="K37" s="145">
        <f t="shared" si="3"/>
        <v>0.35</v>
      </c>
      <c r="L37" s="550"/>
      <c r="M37" s="146">
        <f t="shared" si="4"/>
        <v>1259.7</v>
      </c>
      <c r="N37" s="358">
        <f t="shared" si="5"/>
        <v>0</v>
      </c>
      <c r="O37" s="338" t="s">
        <v>891</v>
      </c>
      <c r="P37" s="336">
        <v>0.185</v>
      </c>
      <c r="Q37" s="370">
        <v>46</v>
      </c>
      <c r="T37" s="92"/>
    </row>
    <row r="38" spans="1:20" ht="15" customHeight="1">
      <c r="A38" s="530"/>
      <c r="B38" s="135" t="s">
        <v>1270</v>
      </c>
      <c r="C38" s="543"/>
      <c r="D38" s="543"/>
      <c r="E38" s="535"/>
      <c r="F38" s="535"/>
      <c r="G38" s="631"/>
      <c r="H38" s="146">
        <v>324</v>
      </c>
      <c r="I38" s="532"/>
      <c r="J38" s="170"/>
      <c r="K38" s="145">
        <f t="shared" si="3"/>
        <v>0.35</v>
      </c>
      <c r="L38" s="550"/>
      <c r="M38" s="146">
        <f t="shared" si="4"/>
        <v>210.60000000000002</v>
      </c>
      <c r="N38" s="358">
        <f t="shared" si="5"/>
        <v>0</v>
      </c>
      <c r="O38" s="338" t="s">
        <v>637</v>
      </c>
      <c r="P38" s="336">
        <v>0.14199999999999999</v>
      </c>
      <c r="Q38" s="370">
        <v>10.5</v>
      </c>
      <c r="T38" s="92"/>
    </row>
    <row r="39" spans="1:20" ht="15" customHeight="1">
      <c r="A39" s="530" t="s">
        <v>1165</v>
      </c>
      <c r="B39" s="135" t="s">
        <v>1166</v>
      </c>
      <c r="C39" s="632" t="s">
        <v>990</v>
      </c>
      <c r="D39" s="632" t="s">
        <v>991</v>
      </c>
      <c r="E39" s="535" t="s">
        <v>257</v>
      </c>
      <c r="F39" s="535" t="s">
        <v>1179</v>
      </c>
      <c r="G39" s="631">
        <f>H39+H40+H41</f>
        <v>4511</v>
      </c>
      <c r="H39" s="351">
        <v>1720</v>
      </c>
      <c r="I39" s="532">
        <v>305100</v>
      </c>
      <c r="J39" s="170"/>
      <c r="K39" s="145">
        <f t="shared" si="3"/>
        <v>0.35</v>
      </c>
      <c r="L39" s="550">
        <f>SUM(G39-(G39*K39))</f>
        <v>2932.15</v>
      </c>
      <c r="M39" s="351">
        <f t="shared" si="4"/>
        <v>1118</v>
      </c>
      <c r="N39" s="358">
        <f t="shared" si="5"/>
        <v>0</v>
      </c>
      <c r="O39" s="338" t="s">
        <v>341</v>
      </c>
      <c r="P39" s="336">
        <v>0.31919999999999998</v>
      </c>
      <c r="Q39" s="370">
        <v>32</v>
      </c>
      <c r="T39" s="92"/>
    </row>
    <row r="40" spans="1:20" ht="15" customHeight="1">
      <c r="A40" s="530"/>
      <c r="B40" s="135" t="s">
        <v>1167</v>
      </c>
      <c r="C40" s="543"/>
      <c r="D40" s="543"/>
      <c r="E40" s="535"/>
      <c r="F40" s="535"/>
      <c r="G40" s="631"/>
      <c r="H40" s="351">
        <v>2467</v>
      </c>
      <c r="I40" s="532"/>
      <c r="J40" s="170"/>
      <c r="K40" s="145">
        <f t="shared" si="3"/>
        <v>0.35</v>
      </c>
      <c r="L40" s="550"/>
      <c r="M40" s="351">
        <f t="shared" si="4"/>
        <v>1603.5500000000002</v>
      </c>
      <c r="N40" s="358">
        <f t="shared" si="5"/>
        <v>0</v>
      </c>
      <c r="O40" s="338" t="s">
        <v>1185</v>
      </c>
      <c r="P40" s="336">
        <v>0.23699999999999999</v>
      </c>
      <c r="Q40" s="370">
        <v>60</v>
      </c>
      <c r="T40" s="92"/>
    </row>
    <row r="41" spans="1:20" ht="15" customHeight="1">
      <c r="A41" s="530"/>
      <c r="B41" s="135" t="s">
        <v>1270</v>
      </c>
      <c r="C41" s="543"/>
      <c r="D41" s="543"/>
      <c r="E41" s="535"/>
      <c r="F41" s="535"/>
      <c r="G41" s="631"/>
      <c r="H41" s="351">
        <v>324</v>
      </c>
      <c r="I41" s="532"/>
      <c r="J41" s="170"/>
      <c r="K41" s="145">
        <f t="shared" si="3"/>
        <v>0.35</v>
      </c>
      <c r="L41" s="550"/>
      <c r="M41" s="351">
        <f t="shared" si="4"/>
        <v>210.60000000000002</v>
      </c>
      <c r="N41" s="358">
        <f t="shared" si="5"/>
        <v>0</v>
      </c>
      <c r="O41" s="338" t="s">
        <v>637</v>
      </c>
      <c r="P41" s="336">
        <v>0.14199999999999999</v>
      </c>
      <c r="Q41" s="370">
        <v>10.5</v>
      </c>
      <c r="T41" s="92"/>
    </row>
    <row r="42" spans="1:20" ht="15" customHeight="1">
      <c r="A42" s="530" t="s">
        <v>1183</v>
      </c>
      <c r="B42" s="135" t="s">
        <v>1168</v>
      </c>
      <c r="C42" s="632" t="s">
        <v>992</v>
      </c>
      <c r="D42" s="632" t="s">
        <v>993</v>
      </c>
      <c r="E42" s="535" t="s">
        <v>1181</v>
      </c>
      <c r="F42" s="535" t="s">
        <v>1182</v>
      </c>
      <c r="G42" s="631">
        <f>H42+H43+H44</f>
        <v>4819</v>
      </c>
      <c r="H42" s="351">
        <v>1787</v>
      </c>
      <c r="I42" s="532">
        <v>326000</v>
      </c>
      <c r="J42" s="170"/>
      <c r="K42" s="145">
        <f t="shared" si="3"/>
        <v>0.35</v>
      </c>
      <c r="L42" s="550">
        <f>SUM(G42-(G42*K42))</f>
        <v>3132.3500000000004</v>
      </c>
      <c r="M42" s="351">
        <f t="shared" si="4"/>
        <v>1161.5500000000002</v>
      </c>
      <c r="N42" s="358">
        <f t="shared" si="5"/>
        <v>0</v>
      </c>
      <c r="O42" s="338" t="s">
        <v>341</v>
      </c>
      <c r="P42" s="336">
        <v>0.31919999999999998</v>
      </c>
      <c r="Q42" s="370">
        <v>34</v>
      </c>
      <c r="T42" s="92"/>
    </row>
    <row r="43" spans="1:20" ht="15" customHeight="1">
      <c r="A43" s="530"/>
      <c r="B43" s="135" t="s">
        <v>1169</v>
      </c>
      <c r="C43" s="543"/>
      <c r="D43" s="543"/>
      <c r="E43" s="535"/>
      <c r="F43" s="535"/>
      <c r="G43" s="631"/>
      <c r="H43" s="351">
        <v>2708</v>
      </c>
      <c r="I43" s="532"/>
      <c r="J43" s="170"/>
      <c r="K43" s="145">
        <f t="shared" si="3"/>
        <v>0.35</v>
      </c>
      <c r="L43" s="550"/>
      <c r="M43" s="351">
        <f t="shared" si="4"/>
        <v>1760.2</v>
      </c>
      <c r="N43" s="358">
        <f t="shared" si="5"/>
        <v>0</v>
      </c>
      <c r="O43" s="338" t="s">
        <v>1185</v>
      </c>
      <c r="P43" s="336">
        <v>0.23699999999999999</v>
      </c>
      <c r="Q43" s="370">
        <v>60</v>
      </c>
      <c r="T43" s="92"/>
    </row>
    <row r="44" spans="1:20" ht="15" customHeight="1">
      <c r="A44" s="530"/>
      <c r="B44" s="135" t="s">
        <v>1270</v>
      </c>
      <c r="C44" s="543"/>
      <c r="D44" s="543"/>
      <c r="E44" s="535"/>
      <c r="F44" s="535"/>
      <c r="G44" s="631"/>
      <c r="H44" s="351">
        <v>324</v>
      </c>
      <c r="I44" s="532"/>
      <c r="J44" s="170"/>
      <c r="K44" s="145">
        <f t="shared" si="3"/>
        <v>0.35</v>
      </c>
      <c r="L44" s="550"/>
      <c r="M44" s="351">
        <f t="shared" si="4"/>
        <v>210.60000000000002</v>
      </c>
      <c r="N44" s="358">
        <f t="shared" si="5"/>
        <v>0</v>
      </c>
      <c r="O44" s="338" t="s">
        <v>637</v>
      </c>
      <c r="P44" s="336">
        <v>0.14199999999999999</v>
      </c>
      <c r="Q44" s="370">
        <v>10.5</v>
      </c>
      <c r="T44" s="92"/>
    </row>
    <row r="45" spans="1:20" ht="15" customHeight="1">
      <c r="A45" s="530" t="s">
        <v>1184</v>
      </c>
      <c r="B45" s="135" t="s">
        <v>1168</v>
      </c>
      <c r="C45" s="632" t="s">
        <v>992</v>
      </c>
      <c r="D45" s="632" t="s">
        <v>993</v>
      </c>
      <c r="E45" s="535" t="s">
        <v>1181</v>
      </c>
      <c r="F45" s="535" t="s">
        <v>1182</v>
      </c>
      <c r="G45" s="631">
        <f>H45+H46+H47</f>
        <v>5226</v>
      </c>
      <c r="H45" s="351">
        <v>1787</v>
      </c>
      <c r="I45" s="532">
        <v>353500</v>
      </c>
      <c r="J45" s="170"/>
      <c r="K45" s="145">
        <f t="shared" si="3"/>
        <v>0.35</v>
      </c>
      <c r="L45" s="550">
        <f>SUM(G45-(G45*K45))</f>
        <v>3396.9</v>
      </c>
      <c r="M45" s="351">
        <f t="shared" si="4"/>
        <v>1161.5500000000002</v>
      </c>
      <c r="N45" s="358">
        <f t="shared" si="5"/>
        <v>0</v>
      </c>
      <c r="O45" s="338" t="s">
        <v>341</v>
      </c>
      <c r="P45" s="336">
        <v>0.31919999999999998</v>
      </c>
      <c r="Q45" s="370">
        <v>34</v>
      </c>
      <c r="T45" s="92"/>
    </row>
    <row r="46" spans="1:20" ht="15" customHeight="1">
      <c r="A46" s="530"/>
      <c r="B46" s="135" t="s">
        <v>1186</v>
      </c>
      <c r="C46" s="543"/>
      <c r="D46" s="543"/>
      <c r="E46" s="535"/>
      <c r="F46" s="535"/>
      <c r="G46" s="631"/>
      <c r="H46" s="351">
        <v>3115</v>
      </c>
      <c r="I46" s="532"/>
      <c r="J46" s="170"/>
      <c r="K46" s="145">
        <f t="shared" si="3"/>
        <v>0.35</v>
      </c>
      <c r="L46" s="550"/>
      <c r="M46" s="351">
        <f t="shared" si="4"/>
        <v>2024.75</v>
      </c>
      <c r="N46" s="358">
        <f t="shared" si="5"/>
        <v>0</v>
      </c>
      <c r="O46" s="338" t="s">
        <v>1185</v>
      </c>
      <c r="P46" s="336">
        <v>0.23699999999999999</v>
      </c>
      <c r="Q46" s="370">
        <v>61</v>
      </c>
      <c r="T46" s="92"/>
    </row>
    <row r="47" spans="1:20" ht="15" customHeight="1">
      <c r="A47" s="530"/>
      <c r="B47" s="135" t="s">
        <v>1270</v>
      </c>
      <c r="C47" s="543"/>
      <c r="D47" s="543"/>
      <c r="E47" s="535"/>
      <c r="F47" s="535"/>
      <c r="G47" s="631"/>
      <c r="H47" s="351">
        <v>324</v>
      </c>
      <c r="I47" s="532"/>
      <c r="J47" s="170"/>
      <c r="K47" s="145">
        <f t="shared" si="3"/>
        <v>0.35</v>
      </c>
      <c r="L47" s="550"/>
      <c r="M47" s="351">
        <f t="shared" si="4"/>
        <v>210.60000000000002</v>
      </c>
      <c r="N47" s="358">
        <f t="shared" si="5"/>
        <v>0</v>
      </c>
      <c r="O47" s="338" t="s">
        <v>637</v>
      </c>
      <c r="P47" s="336">
        <v>0.14199999999999999</v>
      </c>
      <c r="Q47" s="370">
        <v>10.5</v>
      </c>
      <c r="T47" s="92"/>
    </row>
    <row r="48" spans="1:20" ht="15" customHeight="1">
      <c r="A48" s="530" t="s">
        <v>1187</v>
      </c>
      <c r="B48" s="135" t="s">
        <v>1170</v>
      </c>
      <c r="C48" s="632" t="s">
        <v>1188</v>
      </c>
      <c r="D48" s="632" t="s">
        <v>1189</v>
      </c>
      <c r="E48" s="535" t="s">
        <v>1190</v>
      </c>
      <c r="F48" s="535" t="s">
        <v>1191</v>
      </c>
      <c r="G48" s="631">
        <f>H48+H49+H50</f>
        <v>5146</v>
      </c>
      <c r="H48" s="351">
        <v>1847</v>
      </c>
      <c r="I48" s="532">
        <v>348100</v>
      </c>
      <c r="J48" s="170"/>
      <c r="K48" s="145">
        <f t="shared" si="3"/>
        <v>0.35</v>
      </c>
      <c r="L48" s="550">
        <f>SUM(G48-(G48*K48))</f>
        <v>3344.9</v>
      </c>
      <c r="M48" s="351">
        <f t="shared" si="4"/>
        <v>1200.5500000000002</v>
      </c>
      <c r="N48" s="358">
        <f t="shared" si="5"/>
        <v>0</v>
      </c>
      <c r="O48" s="338" t="s">
        <v>341</v>
      </c>
      <c r="P48" s="336">
        <v>0.31919999999999998</v>
      </c>
      <c r="Q48" s="370">
        <v>34</v>
      </c>
      <c r="T48" s="92"/>
    </row>
    <row r="49" spans="1:20" ht="15" customHeight="1">
      <c r="A49" s="530"/>
      <c r="B49" s="135" t="s">
        <v>1171</v>
      </c>
      <c r="C49" s="543"/>
      <c r="D49" s="543"/>
      <c r="E49" s="535"/>
      <c r="F49" s="535"/>
      <c r="G49" s="631"/>
      <c r="H49" s="351">
        <v>2975</v>
      </c>
      <c r="I49" s="532"/>
      <c r="J49" s="170"/>
      <c r="K49" s="145">
        <f t="shared" si="3"/>
        <v>0.35</v>
      </c>
      <c r="L49" s="550"/>
      <c r="M49" s="351">
        <f t="shared" si="4"/>
        <v>1933.75</v>
      </c>
      <c r="N49" s="358">
        <f t="shared" si="5"/>
        <v>0</v>
      </c>
      <c r="O49" s="338" t="s">
        <v>1192</v>
      </c>
      <c r="P49" s="336">
        <v>0.3</v>
      </c>
      <c r="Q49" s="370">
        <v>75</v>
      </c>
      <c r="T49" s="92"/>
    </row>
    <row r="50" spans="1:20" ht="15" customHeight="1">
      <c r="A50" s="530"/>
      <c r="B50" s="135" t="s">
        <v>1270</v>
      </c>
      <c r="C50" s="543"/>
      <c r="D50" s="543"/>
      <c r="E50" s="535"/>
      <c r="F50" s="535"/>
      <c r="G50" s="631"/>
      <c r="H50" s="351">
        <v>324</v>
      </c>
      <c r="I50" s="532"/>
      <c r="J50" s="170"/>
      <c r="K50" s="145">
        <f t="shared" si="3"/>
        <v>0.35</v>
      </c>
      <c r="L50" s="550"/>
      <c r="M50" s="351">
        <f t="shared" si="4"/>
        <v>210.60000000000002</v>
      </c>
      <c r="N50" s="358">
        <f t="shared" si="5"/>
        <v>0</v>
      </c>
      <c r="O50" s="338" t="s">
        <v>637</v>
      </c>
      <c r="P50" s="336">
        <v>0.14199999999999999</v>
      </c>
      <c r="Q50" s="370">
        <v>10.5</v>
      </c>
      <c r="T50" s="92"/>
    </row>
    <row r="51" spans="1:20" ht="15" customHeight="1">
      <c r="A51" s="530" t="s">
        <v>1193</v>
      </c>
      <c r="B51" s="135" t="s">
        <v>1170</v>
      </c>
      <c r="C51" s="632" t="s">
        <v>1188</v>
      </c>
      <c r="D51" s="632" t="s">
        <v>1189</v>
      </c>
      <c r="E51" s="535" t="s">
        <v>1190</v>
      </c>
      <c r="F51" s="535" t="s">
        <v>1191</v>
      </c>
      <c r="G51" s="631">
        <f>H51+H52+H53</f>
        <v>5592</v>
      </c>
      <c r="H51" s="351">
        <v>1847</v>
      </c>
      <c r="I51" s="532">
        <v>378200</v>
      </c>
      <c r="J51" s="170"/>
      <c r="K51" s="145">
        <f t="shared" si="3"/>
        <v>0.35</v>
      </c>
      <c r="L51" s="550">
        <f>SUM(G51-(G51*K51))</f>
        <v>3634.8</v>
      </c>
      <c r="M51" s="351">
        <f t="shared" si="4"/>
        <v>1200.5500000000002</v>
      </c>
      <c r="N51" s="358">
        <f t="shared" si="5"/>
        <v>0</v>
      </c>
      <c r="O51" s="338" t="s">
        <v>341</v>
      </c>
      <c r="P51" s="336">
        <v>0.31919999999999998</v>
      </c>
      <c r="Q51" s="370">
        <v>34</v>
      </c>
      <c r="T51" s="92"/>
    </row>
    <row r="52" spans="1:20" ht="15" customHeight="1">
      <c r="A52" s="530"/>
      <c r="B52" s="135" t="s">
        <v>1194</v>
      </c>
      <c r="C52" s="543"/>
      <c r="D52" s="543"/>
      <c r="E52" s="535"/>
      <c r="F52" s="535"/>
      <c r="G52" s="631"/>
      <c r="H52" s="351">
        <v>3421</v>
      </c>
      <c r="I52" s="532"/>
      <c r="J52" s="170"/>
      <c r="K52" s="145">
        <f t="shared" si="3"/>
        <v>0.35</v>
      </c>
      <c r="L52" s="550"/>
      <c r="M52" s="351">
        <f t="shared" si="4"/>
        <v>2223.65</v>
      </c>
      <c r="N52" s="358">
        <f t="shared" si="5"/>
        <v>0</v>
      </c>
      <c r="O52" s="338" t="s">
        <v>1192</v>
      </c>
      <c r="P52" s="336">
        <v>0.3</v>
      </c>
      <c r="Q52" s="370">
        <v>75</v>
      </c>
      <c r="T52" s="92"/>
    </row>
    <row r="53" spans="1:20" ht="15" customHeight="1">
      <c r="A53" s="530"/>
      <c r="B53" s="135" t="s">
        <v>1270</v>
      </c>
      <c r="C53" s="543"/>
      <c r="D53" s="543"/>
      <c r="E53" s="535"/>
      <c r="F53" s="535"/>
      <c r="G53" s="631"/>
      <c r="H53" s="351">
        <v>324</v>
      </c>
      <c r="I53" s="532"/>
      <c r="J53" s="170"/>
      <c r="K53" s="145">
        <f t="shared" si="3"/>
        <v>0.35</v>
      </c>
      <c r="L53" s="550"/>
      <c r="M53" s="351">
        <f t="shared" si="4"/>
        <v>210.60000000000002</v>
      </c>
      <c r="N53" s="358">
        <f t="shared" si="5"/>
        <v>0</v>
      </c>
      <c r="O53" s="338" t="s">
        <v>637</v>
      </c>
      <c r="P53" s="336">
        <v>0.14199999999999999</v>
      </c>
      <c r="Q53" s="370">
        <v>10.5</v>
      </c>
      <c r="T53" s="92"/>
    </row>
    <row r="54" spans="1:20" ht="15" customHeight="1">
      <c r="A54" s="530" t="s">
        <v>1198</v>
      </c>
      <c r="B54" s="135" t="s">
        <v>1172</v>
      </c>
      <c r="C54" s="632" t="s">
        <v>1195</v>
      </c>
      <c r="D54" s="632" t="s">
        <v>1196</v>
      </c>
      <c r="E54" s="535" t="s">
        <v>608</v>
      </c>
      <c r="F54" s="535" t="s">
        <v>1197</v>
      </c>
      <c r="G54" s="631">
        <f>H54+H55+H56</f>
        <v>6049</v>
      </c>
      <c r="H54" s="351">
        <v>2472</v>
      </c>
      <c r="I54" s="532">
        <v>409200</v>
      </c>
      <c r="J54" s="170"/>
      <c r="K54" s="145">
        <f t="shared" si="3"/>
        <v>0.35</v>
      </c>
      <c r="L54" s="550">
        <f>SUM(G54-(G54*K54))</f>
        <v>3931.85</v>
      </c>
      <c r="M54" s="351">
        <f t="shared" si="4"/>
        <v>1606.8000000000002</v>
      </c>
      <c r="N54" s="358">
        <f t="shared" si="5"/>
        <v>0</v>
      </c>
      <c r="O54" s="338" t="s">
        <v>341</v>
      </c>
      <c r="P54" s="336">
        <v>0.31919999999999998</v>
      </c>
      <c r="Q54" s="370">
        <v>34</v>
      </c>
      <c r="T54" s="92"/>
    </row>
    <row r="55" spans="1:20" ht="15" customHeight="1">
      <c r="A55" s="530"/>
      <c r="B55" s="135" t="s">
        <v>1173</v>
      </c>
      <c r="C55" s="543"/>
      <c r="D55" s="543"/>
      <c r="E55" s="535"/>
      <c r="F55" s="535"/>
      <c r="G55" s="631"/>
      <c r="H55" s="351">
        <v>3253</v>
      </c>
      <c r="I55" s="532"/>
      <c r="J55" s="170"/>
      <c r="K55" s="145">
        <f t="shared" si="3"/>
        <v>0.35</v>
      </c>
      <c r="L55" s="550"/>
      <c r="M55" s="351">
        <f t="shared" si="4"/>
        <v>2114.4499999999998</v>
      </c>
      <c r="N55" s="358">
        <f t="shared" si="5"/>
        <v>0</v>
      </c>
      <c r="O55" s="338" t="s">
        <v>1192</v>
      </c>
      <c r="P55" s="336">
        <v>0.3</v>
      </c>
      <c r="Q55" s="370">
        <v>75</v>
      </c>
      <c r="T55" s="92"/>
    </row>
    <row r="56" spans="1:20" ht="15" customHeight="1">
      <c r="A56" s="530"/>
      <c r="B56" s="135" t="s">
        <v>1270</v>
      </c>
      <c r="C56" s="543"/>
      <c r="D56" s="543"/>
      <c r="E56" s="535"/>
      <c r="F56" s="535"/>
      <c r="G56" s="631"/>
      <c r="H56" s="351">
        <v>324</v>
      </c>
      <c r="I56" s="532"/>
      <c r="J56" s="170"/>
      <c r="K56" s="145">
        <f t="shared" si="3"/>
        <v>0.35</v>
      </c>
      <c r="L56" s="550"/>
      <c r="M56" s="351">
        <f t="shared" si="4"/>
        <v>210.60000000000002</v>
      </c>
      <c r="N56" s="358">
        <f t="shared" si="5"/>
        <v>0</v>
      </c>
      <c r="O56" s="338" t="s">
        <v>637</v>
      </c>
      <c r="P56" s="336">
        <v>0.14199999999999999</v>
      </c>
      <c r="Q56" s="370">
        <v>10.5</v>
      </c>
      <c r="T56" s="92"/>
    </row>
    <row r="57" spans="1:20" ht="15" customHeight="1">
      <c r="A57" s="530" t="s">
        <v>1199</v>
      </c>
      <c r="B57" s="135" t="s">
        <v>1172</v>
      </c>
      <c r="C57" s="632" t="s">
        <v>1195</v>
      </c>
      <c r="D57" s="632" t="s">
        <v>1196</v>
      </c>
      <c r="E57" s="535" t="s">
        <v>608</v>
      </c>
      <c r="F57" s="535" t="s">
        <v>1197</v>
      </c>
      <c r="G57" s="631">
        <f>H57+H58+H59</f>
        <v>6536</v>
      </c>
      <c r="H57" s="351">
        <v>2472</v>
      </c>
      <c r="I57" s="532">
        <v>442100</v>
      </c>
      <c r="J57" s="170"/>
      <c r="K57" s="145">
        <f t="shared" si="3"/>
        <v>0.35</v>
      </c>
      <c r="L57" s="550">
        <f>SUM(G57-(G57*K57))</f>
        <v>4248.3999999999996</v>
      </c>
      <c r="M57" s="351">
        <f t="shared" si="4"/>
        <v>1606.8000000000002</v>
      </c>
      <c r="N57" s="358">
        <f t="shared" si="5"/>
        <v>0</v>
      </c>
      <c r="O57" s="338" t="s">
        <v>341</v>
      </c>
      <c r="P57" s="336">
        <v>0.31919999999999998</v>
      </c>
      <c r="Q57" s="370">
        <v>34</v>
      </c>
      <c r="T57" s="92"/>
    </row>
    <row r="58" spans="1:20" ht="15" customHeight="1">
      <c r="A58" s="530"/>
      <c r="B58" s="135" t="s">
        <v>1200</v>
      </c>
      <c r="C58" s="543"/>
      <c r="D58" s="543"/>
      <c r="E58" s="535"/>
      <c r="F58" s="535"/>
      <c r="G58" s="631"/>
      <c r="H58" s="351">
        <v>3740</v>
      </c>
      <c r="I58" s="532"/>
      <c r="J58" s="170"/>
      <c r="K58" s="145">
        <f t="shared" si="3"/>
        <v>0.35</v>
      </c>
      <c r="L58" s="550"/>
      <c r="M58" s="351">
        <f t="shared" si="4"/>
        <v>2431</v>
      </c>
      <c r="N58" s="358">
        <f t="shared" si="5"/>
        <v>0</v>
      </c>
      <c r="O58" s="338" t="s">
        <v>1192</v>
      </c>
      <c r="P58" s="336">
        <v>0.3</v>
      </c>
      <c r="Q58" s="370">
        <v>75</v>
      </c>
      <c r="T58" s="92"/>
    </row>
    <row r="59" spans="1:20" ht="15" customHeight="1">
      <c r="A59" s="530"/>
      <c r="B59" s="135" t="s">
        <v>1270</v>
      </c>
      <c r="C59" s="543"/>
      <c r="D59" s="543"/>
      <c r="E59" s="535"/>
      <c r="F59" s="535"/>
      <c r="G59" s="631"/>
      <c r="H59" s="351">
        <v>324</v>
      </c>
      <c r="I59" s="532"/>
      <c r="J59" s="170"/>
      <c r="K59" s="145">
        <f t="shared" si="3"/>
        <v>0.35</v>
      </c>
      <c r="L59" s="550"/>
      <c r="M59" s="351">
        <f t="shared" si="4"/>
        <v>210.60000000000002</v>
      </c>
      <c r="N59" s="358">
        <f t="shared" si="5"/>
        <v>0</v>
      </c>
      <c r="O59" s="338" t="s">
        <v>637</v>
      </c>
      <c r="P59" s="336">
        <v>0.14199999999999999</v>
      </c>
      <c r="Q59" s="370">
        <v>10.5</v>
      </c>
      <c r="T59" s="92"/>
    </row>
    <row r="60" spans="1:20" ht="47.25" customHeight="1">
      <c r="A60" s="652" t="s">
        <v>1201</v>
      </c>
      <c r="B60" s="653"/>
      <c r="C60" s="653"/>
      <c r="D60" s="653"/>
      <c r="E60" s="653"/>
      <c r="F60" s="653"/>
      <c r="G60" s="653"/>
      <c r="H60" s="653"/>
      <c r="I60" s="653"/>
      <c r="J60" s="653"/>
      <c r="K60" s="653"/>
      <c r="L60" s="653"/>
      <c r="M60" s="653"/>
      <c r="N60" s="149"/>
      <c r="O60" s="150"/>
      <c r="P60" s="150"/>
      <c r="Q60" s="399"/>
      <c r="T60" s="92"/>
    </row>
    <row r="61" spans="1:20" ht="36.75" customHeight="1">
      <c r="A61" s="537" t="s">
        <v>1154</v>
      </c>
      <c r="B61" s="538"/>
      <c r="C61" s="538"/>
      <c r="D61" s="538"/>
      <c r="E61" s="538"/>
      <c r="F61" s="538"/>
      <c r="G61" s="538"/>
      <c r="H61" s="538"/>
      <c r="I61" s="538"/>
      <c r="J61" s="538"/>
      <c r="K61" s="538"/>
      <c r="L61" s="538"/>
      <c r="M61" s="538"/>
      <c r="N61" s="538"/>
      <c r="O61" s="538"/>
      <c r="P61" s="538"/>
      <c r="Q61" s="539"/>
      <c r="T61" s="92"/>
    </row>
    <row r="62" spans="1:20" ht="15" customHeight="1">
      <c r="A62" s="530" t="s">
        <v>1157</v>
      </c>
      <c r="B62" s="135" t="s">
        <v>1156</v>
      </c>
      <c r="C62" s="633" t="s">
        <v>1212</v>
      </c>
      <c r="D62" s="633" t="s">
        <v>1213</v>
      </c>
      <c r="E62" s="555" t="s">
        <v>241</v>
      </c>
      <c r="F62" s="555" t="s">
        <v>116</v>
      </c>
      <c r="G62" s="631">
        <f>H62+H63+H64</f>
        <v>2529</v>
      </c>
      <c r="H62" s="146">
        <v>1388</v>
      </c>
      <c r="I62" s="532">
        <v>171200</v>
      </c>
      <c r="J62" s="170"/>
      <c r="K62" s="145">
        <f t="shared" ref="K62:K91" si="6">$E$3</f>
        <v>0.35</v>
      </c>
      <c r="L62" s="550">
        <f>SUM(G62-(G62*K62))</f>
        <v>1643.85</v>
      </c>
      <c r="M62" s="146">
        <f t="shared" ref="M62:M88" si="7">SUM(H62-(H62*K62))</f>
        <v>902.2</v>
      </c>
      <c r="N62" s="358">
        <f t="shared" ref="N62:N88" si="8">J62*M62</f>
        <v>0</v>
      </c>
      <c r="O62" s="338" t="s">
        <v>636</v>
      </c>
      <c r="P62" s="336">
        <v>0.27</v>
      </c>
      <c r="Q62" s="370">
        <v>28</v>
      </c>
      <c r="T62" s="92"/>
    </row>
    <row r="63" spans="1:20" ht="15" customHeight="1">
      <c r="A63" s="530"/>
      <c r="B63" s="135" t="s">
        <v>1202</v>
      </c>
      <c r="C63" s="540"/>
      <c r="D63" s="540"/>
      <c r="E63" s="555"/>
      <c r="F63" s="555"/>
      <c r="G63" s="631"/>
      <c r="H63" s="146">
        <v>817</v>
      </c>
      <c r="I63" s="532"/>
      <c r="J63" s="170"/>
      <c r="K63" s="145">
        <f t="shared" si="6"/>
        <v>0.35</v>
      </c>
      <c r="L63" s="550"/>
      <c r="M63" s="146">
        <f t="shared" si="7"/>
        <v>531.04999999999995</v>
      </c>
      <c r="N63" s="358">
        <f t="shared" si="8"/>
        <v>0</v>
      </c>
      <c r="O63" s="338" t="s">
        <v>887</v>
      </c>
      <c r="P63" s="336">
        <v>0.126</v>
      </c>
      <c r="Q63" s="370">
        <v>36</v>
      </c>
      <c r="T63" s="92"/>
    </row>
    <row r="64" spans="1:20" ht="15" customHeight="1">
      <c r="A64" s="530"/>
      <c r="B64" s="135" t="s">
        <v>1270</v>
      </c>
      <c r="C64" s="540"/>
      <c r="D64" s="540"/>
      <c r="E64" s="555"/>
      <c r="F64" s="555"/>
      <c r="G64" s="631"/>
      <c r="H64" s="146">
        <v>324</v>
      </c>
      <c r="I64" s="532"/>
      <c r="J64" s="170"/>
      <c r="K64" s="145">
        <f t="shared" si="6"/>
        <v>0.35</v>
      </c>
      <c r="L64" s="550"/>
      <c r="M64" s="146">
        <f t="shared" si="7"/>
        <v>210.60000000000002</v>
      </c>
      <c r="N64" s="358">
        <f t="shared" si="8"/>
        <v>0</v>
      </c>
      <c r="O64" s="338" t="s">
        <v>637</v>
      </c>
      <c r="P64" s="336">
        <v>0.14199999999999999</v>
      </c>
      <c r="Q64" s="370">
        <v>10.5</v>
      </c>
      <c r="T64" s="92"/>
    </row>
    <row r="65" spans="1:20" ht="15" customHeight="1">
      <c r="A65" s="530" t="s">
        <v>1159</v>
      </c>
      <c r="B65" s="135" t="s">
        <v>1160</v>
      </c>
      <c r="C65" s="632" t="s">
        <v>1213</v>
      </c>
      <c r="D65" s="632" t="s">
        <v>1214</v>
      </c>
      <c r="E65" s="535" t="s">
        <v>1215</v>
      </c>
      <c r="F65" s="535" t="s">
        <v>1216</v>
      </c>
      <c r="G65" s="631">
        <f>H65+H66+H67</f>
        <v>2967</v>
      </c>
      <c r="H65" s="146">
        <v>1408</v>
      </c>
      <c r="I65" s="532">
        <v>200700</v>
      </c>
      <c r="J65" s="170"/>
      <c r="K65" s="145">
        <f t="shared" si="6"/>
        <v>0.35</v>
      </c>
      <c r="L65" s="550">
        <f>SUM(G65-(G65*K65))</f>
        <v>1928.55</v>
      </c>
      <c r="M65" s="146">
        <f t="shared" si="7"/>
        <v>915.2</v>
      </c>
      <c r="N65" s="358">
        <f t="shared" si="8"/>
        <v>0</v>
      </c>
      <c r="O65" s="338" t="s">
        <v>636</v>
      </c>
      <c r="P65" s="336">
        <v>0.27</v>
      </c>
      <c r="Q65" s="370">
        <v>28</v>
      </c>
      <c r="T65" s="92"/>
    </row>
    <row r="66" spans="1:20" ht="15" customHeight="1">
      <c r="A66" s="530"/>
      <c r="B66" s="135" t="s">
        <v>1203</v>
      </c>
      <c r="C66" s="543"/>
      <c r="D66" s="543"/>
      <c r="E66" s="535"/>
      <c r="F66" s="535"/>
      <c r="G66" s="631"/>
      <c r="H66" s="146">
        <v>1235</v>
      </c>
      <c r="I66" s="532"/>
      <c r="J66" s="170"/>
      <c r="K66" s="145">
        <f t="shared" si="6"/>
        <v>0.35</v>
      </c>
      <c r="L66" s="550"/>
      <c r="M66" s="146">
        <f t="shared" si="7"/>
        <v>802.75</v>
      </c>
      <c r="N66" s="358">
        <f t="shared" si="8"/>
        <v>0</v>
      </c>
      <c r="O66" s="338" t="s">
        <v>888</v>
      </c>
      <c r="P66" s="336">
        <v>0.249</v>
      </c>
      <c r="Q66" s="370">
        <v>40</v>
      </c>
      <c r="T66" s="92"/>
    </row>
    <row r="67" spans="1:20" ht="15" customHeight="1">
      <c r="A67" s="530"/>
      <c r="B67" s="135" t="s">
        <v>1270</v>
      </c>
      <c r="C67" s="543"/>
      <c r="D67" s="543"/>
      <c r="E67" s="535"/>
      <c r="F67" s="535"/>
      <c r="G67" s="631"/>
      <c r="H67" s="146">
        <v>324</v>
      </c>
      <c r="I67" s="532"/>
      <c r="J67" s="170"/>
      <c r="K67" s="145">
        <f t="shared" si="6"/>
        <v>0.35</v>
      </c>
      <c r="L67" s="550"/>
      <c r="M67" s="146">
        <f t="shared" si="7"/>
        <v>210.60000000000002</v>
      </c>
      <c r="N67" s="358">
        <f t="shared" si="8"/>
        <v>0</v>
      </c>
      <c r="O67" s="338" t="s">
        <v>637</v>
      </c>
      <c r="P67" s="336">
        <v>0.14199999999999999</v>
      </c>
      <c r="Q67" s="370">
        <v>10.5</v>
      </c>
      <c r="T67" s="92"/>
    </row>
    <row r="68" spans="1:20" ht="15" customHeight="1">
      <c r="A68" s="530" t="s">
        <v>1162</v>
      </c>
      <c r="B68" s="135" t="s">
        <v>1163</v>
      </c>
      <c r="C68" s="632" t="s">
        <v>1217</v>
      </c>
      <c r="D68" s="632" t="s">
        <v>1218</v>
      </c>
      <c r="E68" s="535" t="s">
        <v>89</v>
      </c>
      <c r="F68" s="535" t="s">
        <v>144</v>
      </c>
      <c r="G68" s="631">
        <f>H68+H69+H70</f>
        <v>2988</v>
      </c>
      <c r="H68" s="146">
        <v>1429</v>
      </c>
      <c r="I68" s="532">
        <v>202200</v>
      </c>
      <c r="J68" s="170"/>
      <c r="K68" s="145">
        <f t="shared" si="6"/>
        <v>0.35</v>
      </c>
      <c r="L68" s="550">
        <f>SUM(G68-(G68*K68))</f>
        <v>1942.2</v>
      </c>
      <c r="M68" s="146">
        <f t="shared" si="7"/>
        <v>928.85</v>
      </c>
      <c r="N68" s="358">
        <f t="shared" si="8"/>
        <v>0</v>
      </c>
      <c r="O68" s="338" t="s">
        <v>636</v>
      </c>
      <c r="P68" s="336">
        <v>0.27</v>
      </c>
      <c r="Q68" s="370">
        <v>29</v>
      </c>
      <c r="T68" s="92"/>
    </row>
    <row r="69" spans="1:20" ht="15" customHeight="1">
      <c r="A69" s="530"/>
      <c r="B69" s="135" t="s">
        <v>1204</v>
      </c>
      <c r="C69" s="543"/>
      <c r="D69" s="543"/>
      <c r="E69" s="535"/>
      <c r="F69" s="535"/>
      <c r="G69" s="631"/>
      <c r="H69" s="146">
        <v>1235</v>
      </c>
      <c r="I69" s="532"/>
      <c r="J69" s="170"/>
      <c r="K69" s="145">
        <f t="shared" si="6"/>
        <v>0.35</v>
      </c>
      <c r="L69" s="550"/>
      <c r="M69" s="146">
        <f t="shared" si="7"/>
        <v>802.75</v>
      </c>
      <c r="N69" s="358">
        <f t="shared" si="8"/>
        <v>0</v>
      </c>
      <c r="O69" s="338" t="s">
        <v>888</v>
      </c>
      <c r="P69" s="336">
        <v>0.249</v>
      </c>
      <c r="Q69" s="370">
        <v>42</v>
      </c>
      <c r="T69" s="92"/>
    </row>
    <row r="70" spans="1:20" ht="15" customHeight="1">
      <c r="A70" s="530"/>
      <c r="B70" s="135" t="s">
        <v>1270</v>
      </c>
      <c r="C70" s="543"/>
      <c r="D70" s="543"/>
      <c r="E70" s="535"/>
      <c r="F70" s="535"/>
      <c r="G70" s="631"/>
      <c r="H70" s="146">
        <v>324</v>
      </c>
      <c r="I70" s="532"/>
      <c r="J70" s="170"/>
      <c r="K70" s="145">
        <f t="shared" si="6"/>
        <v>0.35</v>
      </c>
      <c r="L70" s="550"/>
      <c r="M70" s="146">
        <f t="shared" si="7"/>
        <v>210.60000000000002</v>
      </c>
      <c r="N70" s="358">
        <f t="shared" si="8"/>
        <v>0</v>
      </c>
      <c r="O70" s="338" t="s">
        <v>637</v>
      </c>
      <c r="P70" s="336">
        <v>0.14199999999999999</v>
      </c>
      <c r="Q70" s="370">
        <v>10.5</v>
      </c>
      <c r="T70" s="92"/>
    </row>
    <row r="71" spans="1:20" ht="15" customHeight="1">
      <c r="A71" s="530" t="s">
        <v>1165</v>
      </c>
      <c r="B71" s="135" t="s">
        <v>1166</v>
      </c>
      <c r="C71" s="632" t="s">
        <v>1219</v>
      </c>
      <c r="D71" s="632" t="s">
        <v>1220</v>
      </c>
      <c r="E71" s="535" t="s">
        <v>606</v>
      </c>
      <c r="F71" s="535" t="s">
        <v>1221</v>
      </c>
      <c r="G71" s="631">
        <f>H71+H72+H73</f>
        <v>3893</v>
      </c>
      <c r="H71" s="351">
        <v>1720</v>
      </c>
      <c r="I71" s="532">
        <v>263300</v>
      </c>
      <c r="J71" s="170"/>
      <c r="K71" s="145">
        <f t="shared" si="6"/>
        <v>0.35</v>
      </c>
      <c r="L71" s="550">
        <f>SUM(G71-(G71*K71))</f>
        <v>2530.4499999999998</v>
      </c>
      <c r="M71" s="351">
        <f t="shared" si="7"/>
        <v>1118</v>
      </c>
      <c r="N71" s="358">
        <f t="shared" si="8"/>
        <v>0</v>
      </c>
      <c r="O71" s="338" t="s">
        <v>341</v>
      </c>
      <c r="P71" s="336">
        <v>0.31919999999999998</v>
      </c>
      <c r="Q71" s="370">
        <v>32</v>
      </c>
      <c r="T71" s="92"/>
    </row>
    <row r="72" spans="1:20" ht="15" customHeight="1">
      <c r="A72" s="530"/>
      <c r="B72" s="135" t="s">
        <v>1205</v>
      </c>
      <c r="C72" s="543"/>
      <c r="D72" s="543"/>
      <c r="E72" s="535"/>
      <c r="F72" s="535"/>
      <c r="G72" s="631"/>
      <c r="H72" s="351">
        <v>1849</v>
      </c>
      <c r="I72" s="532"/>
      <c r="J72" s="170"/>
      <c r="K72" s="145">
        <f t="shared" si="6"/>
        <v>0.35</v>
      </c>
      <c r="L72" s="550"/>
      <c r="M72" s="351">
        <f t="shared" si="7"/>
        <v>1201.8499999999999</v>
      </c>
      <c r="N72" s="358">
        <f t="shared" si="8"/>
        <v>0</v>
      </c>
      <c r="O72" s="338" t="s">
        <v>1185</v>
      </c>
      <c r="P72" s="336">
        <v>0.23699999999999999</v>
      </c>
      <c r="Q72" s="370">
        <v>61</v>
      </c>
      <c r="T72" s="92"/>
    </row>
    <row r="73" spans="1:20" ht="15" customHeight="1">
      <c r="A73" s="530"/>
      <c r="B73" s="135" t="s">
        <v>1270</v>
      </c>
      <c r="C73" s="543"/>
      <c r="D73" s="543"/>
      <c r="E73" s="535"/>
      <c r="F73" s="535"/>
      <c r="G73" s="631"/>
      <c r="H73" s="351">
        <v>324</v>
      </c>
      <c r="I73" s="532"/>
      <c r="J73" s="170"/>
      <c r="K73" s="145">
        <f t="shared" si="6"/>
        <v>0.35</v>
      </c>
      <c r="L73" s="550"/>
      <c r="M73" s="351">
        <f t="shared" si="7"/>
        <v>210.60000000000002</v>
      </c>
      <c r="N73" s="358">
        <f t="shared" si="8"/>
        <v>0</v>
      </c>
      <c r="O73" s="338" t="s">
        <v>637</v>
      </c>
      <c r="P73" s="336">
        <v>0.14199999999999999</v>
      </c>
      <c r="Q73" s="370">
        <v>10.5</v>
      </c>
      <c r="T73" s="92"/>
    </row>
    <row r="74" spans="1:20" ht="15" customHeight="1">
      <c r="A74" s="530" t="s">
        <v>1183</v>
      </c>
      <c r="B74" s="135" t="s">
        <v>1168</v>
      </c>
      <c r="C74" s="632" t="s">
        <v>1222</v>
      </c>
      <c r="D74" s="632" t="s">
        <v>1223</v>
      </c>
      <c r="E74" s="535" t="s">
        <v>1224</v>
      </c>
      <c r="F74" s="535" t="s">
        <v>1122</v>
      </c>
      <c r="G74" s="631">
        <f>H74+H75+H76</f>
        <v>4142</v>
      </c>
      <c r="H74" s="351">
        <v>1787</v>
      </c>
      <c r="I74" s="532">
        <v>280200</v>
      </c>
      <c r="J74" s="170"/>
      <c r="K74" s="145">
        <f t="shared" si="6"/>
        <v>0.35</v>
      </c>
      <c r="L74" s="550">
        <f>SUM(G74-(G74*K74))</f>
        <v>2692.3</v>
      </c>
      <c r="M74" s="351">
        <f t="shared" si="7"/>
        <v>1161.5500000000002</v>
      </c>
      <c r="N74" s="358">
        <f t="shared" si="8"/>
        <v>0</v>
      </c>
      <c r="O74" s="338" t="s">
        <v>341</v>
      </c>
      <c r="P74" s="336">
        <v>0.31919999999999998</v>
      </c>
      <c r="Q74" s="370">
        <v>34</v>
      </c>
      <c r="T74" s="92"/>
    </row>
    <row r="75" spans="1:20" ht="15" customHeight="1">
      <c r="A75" s="530"/>
      <c r="B75" s="135" t="s">
        <v>1206</v>
      </c>
      <c r="C75" s="543"/>
      <c r="D75" s="543"/>
      <c r="E75" s="535"/>
      <c r="F75" s="535"/>
      <c r="G75" s="631"/>
      <c r="H75" s="351">
        <v>2031</v>
      </c>
      <c r="I75" s="532"/>
      <c r="J75" s="170"/>
      <c r="K75" s="145">
        <f t="shared" si="6"/>
        <v>0.35</v>
      </c>
      <c r="L75" s="550"/>
      <c r="M75" s="351">
        <f t="shared" si="7"/>
        <v>1320.15</v>
      </c>
      <c r="N75" s="358">
        <f t="shared" si="8"/>
        <v>0</v>
      </c>
      <c r="O75" s="338" t="s">
        <v>1185</v>
      </c>
      <c r="P75" s="336">
        <v>0.23699999999999999</v>
      </c>
      <c r="Q75" s="370">
        <v>61</v>
      </c>
      <c r="T75" s="92"/>
    </row>
    <row r="76" spans="1:20" ht="15" customHeight="1">
      <c r="A76" s="530"/>
      <c r="B76" s="135" t="s">
        <v>1270</v>
      </c>
      <c r="C76" s="543"/>
      <c r="D76" s="543"/>
      <c r="E76" s="535"/>
      <c r="F76" s="535"/>
      <c r="G76" s="631"/>
      <c r="H76" s="351">
        <v>324</v>
      </c>
      <c r="I76" s="532"/>
      <c r="J76" s="170"/>
      <c r="K76" s="145">
        <f t="shared" si="6"/>
        <v>0.35</v>
      </c>
      <c r="L76" s="550"/>
      <c r="M76" s="351">
        <f t="shared" si="7"/>
        <v>210.60000000000002</v>
      </c>
      <c r="N76" s="358">
        <f t="shared" si="8"/>
        <v>0</v>
      </c>
      <c r="O76" s="338" t="s">
        <v>637</v>
      </c>
      <c r="P76" s="336">
        <v>0.14199999999999999</v>
      </c>
      <c r="Q76" s="370">
        <v>10.5</v>
      </c>
      <c r="T76" s="92"/>
    </row>
    <row r="77" spans="1:20" ht="15" customHeight="1">
      <c r="A77" s="530" t="s">
        <v>1184</v>
      </c>
      <c r="B77" s="135" t="s">
        <v>1168</v>
      </c>
      <c r="C77" s="632" t="s">
        <v>1222</v>
      </c>
      <c r="D77" s="632" t="s">
        <v>1223</v>
      </c>
      <c r="E77" s="535" t="s">
        <v>1224</v>
      </c>
      <c r="F77" s="535" t="s">
        <v>1122</v>
      </c>
      <c r="G77" s="631">
        <f>H77+H78+H79</f>
        <v>4446</v>
      </c>
      <c r="H77" s="351">
        <v>1787</v>
      </c>
      <c r="I77" s="532">
        <v>300800</v>
      </c>
      <c r="J77" s="170"/>
      <c r="K77" s="145">
        <f t="shared" si="6"/>
        <v>0.35</v>
      </c>
      <c r="L77" s="550">
        <f>SUM(G77-(G77*K77))</f>
        <v>2889.9</v>
      </c>
      <c r="M77" s="351">
        <f t="shared" ref="M77:M79" si="9">SUM(H77-(H77*K77))</f>
        <v>1161.5500000000002</v>
      </c>
      <c r="N77" s="358">
        <f t="shared" ref="N77:N79" si="10">J77*M77</f>
        <v>0</v>
      </c>
      <c r="O77" s="338" t="s">
        <v>341</v>
      </c>
      <c r="P77" s="336">
        <v>0.31919999999999998</v>
      </c>
      <c r="Q77" s="370">
        <v>34</v>
      </c>
      <c r="T77" s="92"/>
    </row>
    <row r="78" spans="1:20" ht="15" customHeight="1">
      <c r="A78" s="530"/>
      <c r="B78" s="135" t="s">
        <v>1207</v>
      </c>
      <c r="C78" s="543"/>
      <c r="D78" s="543"/>
      <c r="E78" s="535"/>
      <c r="F78" s="535"/>
      <c r="G78" s="631"/>
      <c r="H78" s="351">
        <v>2335</v>
      </c>
      <c r="I78" s="532"/>
      <c r="J78" s="170"/>
      <c r="K78" s="145">
        <f t="shared" si="6"/>
        <v>0.35</v>
      </c>
      <c r="L78" s="550"/>
      <c r="M78" s="351">
        <f t="shared" si="9"/>
        <v>1517.75</v>
      </c>
      <c r="N78" s="358">
        <f t="shared" si="10"/>
        <v>0</v>
      </c>
      <c r="O78" s="338" t="s">
        <v>1185</v>
      </c>
      <c r="P78" s="336">
        <v>0.23699999999999999</v>
      </c>
      <c r="Q78" s="370">
        <v>62</v>
      </c>
      <c r="T78" s="92"/>
    </row>
    <row r="79" spans="1:20" ht="15" customHeight="1">
      <c r="A79" s="530"/>
      <c r="B79" s="135" t="s">
        <v>1270</v>
      </c>
      <c r="C79" s="543"/>
      <c r="D79" s="543"/>
      <c r="E79" s="535"/>
      <c r="F79" s="535"/>
      <c r="G79" s="631"/>
      <c r="H79" s="351">
        <v>324</v>
      </c>
      <c r="I79" s="532"/>
      <c r="J79" s="170"/>
      <c r="K79" s="145">
        <f t="shared" si="6"/>
        <v>0.35</v>
      </c>
      <c r="L79" s="550"/>
      <c r="M79" s="351">
        <f t="shared" si="9"/>
        <v>210.60000000000002</v>
      </c>
      <c r="N79" s="358">
        <f t="shared" si="10"/>
        <v>0</v>
      </c>
      <c r="O79" s="338" t="s">
        <v>637</v>
      </c>
      <c r="P79" s="336">
        <v>0.14199999999999999</v>
      </c>
      <c r="Q79" s="370">
        <v>10.5</v>
      </c>
      <c r="T79" s="92"/>
    </row>
    <row r="80" spans="1:20" ht="15" customHeight="1">
      <c r="A80" s="530" t="s">
        <v>1187</v>
      </c>
      <c r="B80" s="135" t="s">
        <v>1170</v>
      </c>
      <c r="C80" s="632" t="s">
        <v>1225</v>
      </c>
      <c r="D80" s="632" t="s">
        <v>1226</v>
      </c>
      <c r="E80" s="535" t="s">
        <v>1227</v>
      </c>
      <c r="F80" s="535" t="s">
        <v>605</v>
      </c>
      <c r="G80" s="631">
        <f>H80+H81+H82</f>
        <v>4402</v>
      </c>
      <c r="H80" s="351">
        <v>1847</v>
      </c>
      <c r="I80" s="532">
        <v>297800</v>
      </c>
      <c r="J80" s="170"/>
      <c r="K80" s="145">
        <f t="shared" si="6"/>
        <v>0.35</v>
      </c>
      <c r="L80" s="550">
        <f>SUM(G80-(G80*K80))</f>
        <v>2861.3</v>
      </c>
      <c r="M80" s="351">
        <f t="shared" si="7"/>
        <v>1200.5500000000002</v>
      </c>
      <c r="N80" s="358">
        <f t="shared" si="8"/>
        <v>0</v>
      </c>
      <c r="O80" s="338" t="s">
        <v>341</v>
      </c>
      <c r="P80" s="336">
        <v>0.31919999999999998</v>
      </c>
      <c r="Q80" s="370">
        <v>34</v>
      </c>
      <c r="T80" s="92"/>
    </row>
    <row r="81" spans="1:20" ht="15" customHeight="1">
      <c r="A81" s="530"/>
      <c r="B81" s="135" t="s">
        <v>1208</v>
      </c>
      <c r="C81" s="543"/>
      <c r="D81" s="543"/>
      <c r="E81" s="535"/>
      <c r="F81" s="535"/>
      <c r="G81" s="631"/>
      <c r="H81" s="351">
        <v>2231</v>
      </c>
      <c r="I81" s="532"/>
      <c r="J81" s="170"/>
      <c r="K81" s="145">
        <f t="shared" si="6"/>
        <v>0.35</v>
      </c>
      <c r="L81" s="550"/>
      <c r="M81" s="351">
        <f t="shared" si="7"/>
        <v>1450.15</v>
      </c>
      <c r="N81" s="358">
        <f t="shared" si="8"/>
        <v>0</v>
      </c>
      <c r="O81" s="338" t="s">
        <v>1192</v>
      </c>
      <c r="P81" s="336">
        <v>0.3</v>
      </c>
      <c r="Q81" s="370">
        <v>71</v>
      </c>
      <c r="T81" s="92"/>
    </row>
    <row r="82" spans="1:20" ht="15" customHeight="1">
      <c r="A82" s="530"/>
      <c r="B82" s="135" t="s">
        <v>1270</v>
      </c>
      <c r="C82" s="543"/>
      <c r="D82" s="543"/>
      <c r="E82" s="535"/>
      <c r="F82" s="535"/>
      <c r="G82" s="631"/>
      <c r="H82" s="351">
        <v>324</v>
      </c>
      <c r="I82" s="532"/>
      <c r="J82" s="170"/>
      <c r="K82" s="145">
        <f t="shared" si="6"/>
        <v>0.35</v>
      </c>
      <c r="L82" s="550"/>
      <c r="M82" s="351">
        <f t="shared" si="7"/>
        <v>210.60000000000002</v>
      </c>
      <c r="N82" s="358">
        <f t="shared" si="8"/>
        <v>0</v>
      </c>
      <c r="O82" s="338" t="s">
        <v>637</v>
      </c>
      <c r="P82" s="336">
        <v>0.14199999999999999</v>
      </c>
      <c r="Q82" s="370">
        <v>10.5</v>
      </c>
      <c r="T82" s="92"/>
    </row>
    <row r="83" spans="1:20" ht="15" customHeight="1">
      <c r="A83" s="530" t="s">
        <v>1193</v>
      </c>
      <c r="B83" s="135" t="s">
        <v>1170</v>
      </c>
      <c r="C83" s="632" t="s">
        <v>1225</v>
      </c>
      <c r="D83" s="632" t="s">
        <v>1226</v>
      </c>
      <c r="E83" s="535" t="s">
        <v>1227</v>
      </c>
      <c r="F83" s="535" t="s">
        <v>605</v>
      </c>
      <c r="G83" s="631">
        <f>H83+H84+H85</f>
        <v>4736</v>
      </c>
      <c r="H83" s="351">
        <v>1847</v>
      </c>
      <c r="I83" s="532">
        <v>320300</v>
      </c>
      <c r="J83" s="170"/>
      <c r="K83" s="145">
        <f t="shared" si="6"/>
        <v>0.35</v>
      </c>
      <c r="L83" s="550">
        <f>SUM(G83-(G83*K83))</f>
        <v>3078.4</v>
      </c>
      <c r="M83" s="351">
        <f t="shared" ref="M83:M85" si="11">SUM(H83-(H83*K83))</f>
        <v>1200.5500000000002</v>
      </c>
      <c r="N83" s="358">
        <f t="shared" ref="N83:N85" si="12">J83*M83</f>
        <v>0</v>
      </c>
      <c r="O83" s="338" t="s">
        <v>341</v>
      </c>
      <c r="P83" s="336">
        <v>0.31919999999999998</v>
      </c>
      <c r="Q83" s="370">
        <v>34</v>
      </c>
      <c r="T83" s="92"/>
    </row>
    <row r="84" spans="1:20" ht="15" customHeight="1">
      <c r="A84" s="530"/>
      <c r="B84" s="135" t="s">
        <v>1209</v>
      </c>
      <c r="C84" s="543"/>
      <c r="D84" s="543"/>
      <c r="E84" s="535"/>
      <c r="F84" s="535"/>
      <c r="G84" s="631"/>
      <c r="H84" s="351">
        <v>2565</v>
      </c>
      <c r="I84" s="532"/>
      <c r="J84" s="170"/>
      <c r="K84" s="145">
        <f t="shared" si="6"/>
        <v>0.35</v>
      </c>
      <c r="L84" s="550"/>
      <c r="M84" s="351">
        <f t="shared" si="11"/>
        <v>1667.25</v>
      </c>
      <c r="N84" s="358">
        <f t="shared" si="12"/>
        <v>0</v>
      </c>
      <c r="O84" s="338" t="s">
        <v>1192</v>
      </c>
      <c r="P84" s="336">
        <v>0.3</v>
      </c>
      <c r="Q84" s="370">
        <v>72</v>
      </c>
      <c r="T84" s="92"/>
    </row>
    <row r="85" spans="1:20" ht="15" customHeight="1">
      <c r="A85" s="530"/>
      <c r="B85" s="135" t="s">
        <v>1270</v>
      </c>
      <c r="C85" s="543"/>
      <c r="D85" s="543"/>
      <c r="E85" s="535"/>
      <c r="F85" s="535"/>
      <c r="G85" s="631"/>
      <c r="H85" s="351">
        <v>324</v>
      </c>
      <c r="I85" s="532"/>
      <c r="J85" s="170"/>
      <c r="K85" s="145">
        <f t="shared" si="6"/>
        <v>0.35</v>
      </c>
      <c r="L85" s="550"/>
      <c r="M85" s="351">
        <f t="shared" si="11"/>
        <v>210.60000000000002</v>
      </c>
      <c r="N85" s="358">
        <f t="shared" si="12"/>
        <v>0</v>
      </c>
      <c r="O85" s="338" t="s">
        <v>637</v>
      </c>
      <c r="P85" s="336">
        <v>0.14199999999999999</v>
      </c>
      <c r="Q85" s="370">
        <v>10.5</v>
      </c>
      <c r="T85" s="92"/>
    </row>
    <row r="86" spans="1:20" ht="15" customHeight="1">
      <c r="A86" s="530" t="s">
        <v>1198</v>
      </c>
      <c r="B86" s="135" t="s">
        <v>1172</v>
      </c>
      <c r="C86" s="632" t="s">
        <v>1228</v>
      </c>
      <c r="D86" s="632" t="s">
        <v>1229</v>
      </c>
      <c r="E86" s="535" t="s">
        <v>1230</v>
      </c>
      <c r="F86" s="535" t="s">
        <v>240</v>
      </c>
      <c r="G86" s="631">
        <f>H86+H87+H88</f>
        <v>5237</v>
      </c>
      <c r="H86" s="351">
        <v>2472</v>
      </c>
      <c r="I86" s="532">
        <v>354300</v>
      </c>
      <c r="J86" s="170"/>
      <c r="K86" s="145">
        <f t="shared" si="6"/>
        <v>0.35</v>
      </c>
      <c r="L86" s="550">
        <f>SUM(G86-(G86*K86))</f>
        <v>3404.05</v>
      </c>
      <c r="M86" s="351">
        <f t="shared" si="7"/>
        <v>1606.8000000000002</v>
      </c>
      <c r="N86" s="358">
        <f t="shared" si="8"/>
        <v>0</v>
      </c>
      <c r="O86" s="338" t="s">
        <v>341</v>
      </c>
      <c r="P86" s="336">
        <v>0.31919999999999998</v>
      </c>
      <c r="Q86" s="370">
        <v>34</v>
      </c>
      <c r="T86" s="92"/>
    </row>
    <row r="87" spans="1:20" ht="15" customHeight="1">
      <c r="A87" s="530"/>
      <c r="B87" s="135" t="s">
        <v>1210</v>
      </c>
      <c r="C87" s="543"/>
      <c r="D87" s="543"/>
      <c r="E87" s="535"/>
      <c r="F87" s="535"/>
      <c r="G87" s="631"/>
      <c r="H87" s="351">
        <v>2441</v>
      </c>
      <c r="I87" s="532"/>
      <c r="J87" s="170"/>
      <c r="K87" s="145">
        <f t="shared" si="6"/>
        <v>0.35</v>
      </c>
      <c r="L87" s="550"/>
      <c r="M87" s="351">
        <f t="shared" si="7"/>
        <v>1586.65</v>
      </c>
      <c r="N87" s="358">
        <f t="shared" si="8"/>
        <v>0</v>
      </c>
      <c r="O87" s="338" t="s">
        <v>1192</v>
      </c>
      <c r="P87" s="336">
        <v>0.3</v>
      </c>
      <c r="Q87" s="370">
        <v>72</v>
      </c>
      <c r="T87" s="92"/>
    </row>
    <row r="88" spans="1:20" ht="15" customHeight="1">
      <c r="A88" s="530"/>
      <c r="B88" s="135" t="s">
        <v>1270</v>
      </c>
      <c r="C88" s="543"/>
      <c r="D88" s="543"/>
      <c r="E88" s="535"/>
      <c r="F88" s="535"/>
      <c r="G88" s="631"/>
      <c r="H88" s="351">
        <v>324</v>
      </c>
      <c r="I88" s="532"/>
      <c r="J88" s="170"/>
      <c r="K88" s="145">
        <f t="shared" si="6"/>
        <v>0.35</v>
      </c>
      <c r="L88" s="550"/>
      <c r="M88" s="351">
        <f t="shared" si="7"/>
        <v>210.60000000000002</v>
      </c>
      <c r="N88" s="358">
        <f t="shared" si="8"/>
        <v>0</v>
      </c>
      <c r="O88" s="338" t="s">
        <v>637</v>
      </c>
      <c r="P88" s="336">
        <v>0.14199999999999999</v>
      </c>
      <c r="Q88" s="370">
        <v>10.5</v>
      </c>
      <c r="T88" s="92"/>
    </row>
    <row r="89" spans="1:20" ht="15" customHeight="1">
      <c r="A89" s="530" t="s">
        <v>1199</v>
      </c>
      <c r="B89" s="135" t="s">
        <v>1172</v>
      </c>
      <c r="C89" s="655" t="s">
        <v>1228</v>
      </c>
      <c r="D89" s="655" t="s">
        <v>1229</v>
      </c>
      <c r="E89" s="658" t="s">
        <v>1230</v>
      </c>
      <c r="F89" s="658" t="s">
        <v>240</v>
      </c>
      <c r="G89" s="631">
        <f>H89+H90+H91</f>
        <v>5603</v>
      </c>
      <c r="H89" s="351">
        <v>2472</v>
      </c>
      <c r="I89" s="532">
        <v>379000</v>
      </c>
      <c r="J89" s="170"/>
      <c r="K89" s="145">
        <f t="shared" si="6"/>
        <v>0.35</v>
      </c>
      <c r="L89" s="550">
        <f>SUM(G89-(G89*K89))</f>
        <v>3641.95</v>
      </c>
      <c r="M89" s="351">
        <f t="shared" ref="M89:M91" si="13">SUM(H89-(H89*K89))</f>
        <v>1606.8000000000002</v>
      </c>
      <c r="N89" s="358">
        <f t="shared" ref="N89:N91" si="14">J89*M89</f>
        <v>0</v>
      </c>
      <c r="O89" s="338" t="s">
        <v>341</v>
      </c>
      <c r="P89" s="336">
        <v>0.31919999999999998</v>
      </c>
      <c r="Q89" s="370">
        <v>34</v>
      </c>
      <c r="T89" s="92"/>
    </row>
    <row r="90" spans="1:20" ht="15" customHeight="1">
      <c r="A90" s="530"/>
      <c r="B90" s="135" t="s">
        <v>1211</v>
      </c>
      <c r="C90" s="656"/>
      <c r="D90" s="656"/>
      <c r="E90" s="659"/>
      <c r="F90" s="659"/>
      <c r="G90" s="631"/>
      <c r="H90" s="351">
        <v>2807</v>
      </c>
      <c r="I90" s="532"/>
      <c r="J90" s="170"/>
      <c r="K90" s="145">
        <f t="shared" si="6"/>
        <v>0.35</v>
      </c>
      <c r="L90" s="550"/>
      <c r="M90" s="351">
        <f t="shared" si="13"/>
        <v>1824.5500000000002</v>
      </c>
      <c r="N90" s="358">
        <f t="shared" si="14"/>
        <v>0</v>
      </c>
      <c r="O90" s="338" t="s">
        <v>1192</v>
      </c>
      <c r="P90" s="336">
        <v>0.3</v>
      </c>
      <c r="Q90" s="370">
        <v>72</v>
      </c>
      <c r="T90" s="92"/>
    </row>
    <row r="91" spans="1:20" ht="15" customHeight="1">
      <c r="A91" s="530"/>
      <c r="B91" s="135" t="s">
        <v>1270</v>
      </c>
      <c r="C91" s="657"/>
      <c r="D91" s="657"/>
      <c r="E91" s="660"/>
      <c r="F91" s="660"/>
      <c r="G91" s="631"/>
      <c r="H91" s="351">
        <v>324</v>
      </c>
      <c r="I91" s="532"/>
      <c r="J91" s="170"/>
      <c r="K91" s="145">
        <f t="shared" si="6"/>
        <v>0.35</v>
      </c>
      <c r="L91" s="550"/>
      <c r="M91" s="351">
        <f t="shared" si="13"/>
        <v>210.60000000000002</v>
      </c>
      <c r="N91" s="358">
        <f t="shared" si="14"/>
        <v>0</v>
      </c>
      <c r="O91" s="338" t="s">
        <v>637</v>
      </c>
      <c r="P91" s="336">
        <v>0.14199999999999999</v>
      </c>
      <c r="Q91" s="370">
        <v>10.5</v>
      </c>
      <c r="T91" s="92"/>
    </row>
    <row r="92" spans="1:20" ht="47.25" customHeight="1">
      <c r="A92" s="652" t="s">
        <v>998</v>
      </c>
      <c r="B92" s="653"/>
      <c r="C92" s="653"/>
      <c r="D92" s="653"/>
      <c r="E92" s="653"/>
      <c r="F92" s="653"/>
      <c r="G92" s="653"/>
      <c r="H92" s="653"/>
      <c r="I92" s="653"/>
      <c r="J92" s="653"/>
      <c r="K92" s="653"/>
      <c r="L92" s="653"/>
      <c r="M92" s="653"/>
      <c r="N92" s="149"/>
      <c r="O92" s="150"/>
      <c r="P92" s="150"/>
      <c r="Q92" s="399"/>
      <c r="T92" s="92"/>
    </row>
    <row r="93" spans="1:20" ht="36.75" customHeight="1">
      <c r="A93" s="537" t="s">
        <v>159</v>
      </c>
      <c r="B93" s="538"/>
      <c r="C93" s="538"/>
      <c r="D93" s="538"/>
      <c r="E93" s="538"/>
      <c r="F93" s="538"/>
      <c r="G93" s="538"/>
      <c r="H93" s="538"/>
      <c r="I93" s="538"/>
      <c r="J93" s="538"/>
      <c r="K93" s="538"/>
      <c r="L93" s="538"/>
      <c r="M93" s="538"/>
      <c r="N93" s="538"/>
      <c r="O93" s="538"/>
      <c r="P93" s="538"/>
      <c r="Q93" s="539"/>
      <c r="T93" s="92"/>
    </row>
    <row r="94" spans="1:20" ht="15" customHeight="1">
      <c r="A94" s="530" t="s">
        <v>153</v>
      </c>
      <c r="B94" s="135" t="s">
        <v>61</v>
      </c>
      <c r="C94" s="540" t="s">
        <v>999</v>
      </c>
      <c r="D94" s="540" t="s">
        <v>1000</v>
      </c>
      <c r="E94" s="555" t="s">
        <v>131</v>
      </c>
      <c r="F94" s="555" t="s">
        <v>132</v>
      </c>
      <c r="G94" s="631">
        <f>H94+H95+H96</f>
        <v>1818</v>
      </c>
      <c r="H94" s="146">
        <v>923</v>
      </c>
      <c r="I94" s="532">
        <v>123300</v>
      </c>
      <c r="J94" s="170"/>
      <c r="K94" s="145">
        <f t="shared" ref="K94:K111" si="15">$E$3</f>
        <v>0.35</v>
      </c>
      <c r="L94" s="550">
        <f>SUM(G94-(G94*K94))</f>
        <v>1181.7</v>
      </c>
      <c r="M94" s="146">
        <f t="shared" ref="M94:M111" si="16">SUM(H94-(H94*K94))</f>
        <v>599.95000000000005</v>
      </c>
      <c r="N94" s="358">
        <f t="shared" ref="N94:N108" si="17">J94*M94</f>
        <v>0</v>
      </c>
      <c r="O94" s="338" t="s">
        <v>339</v>
      </c>
      <c r="P94" s="336">
        <v>0.12</v>
      </c>
      <c r="Q94" s="367">
        <v>18</v>
      </c>
      <c r="T94" s="92"/>
    </row>
    <row r="95" spans="1:20" ht="15" customHeight="1">
      <c r="A95" s="530"/>
      <c r="B95" s="135" t="s">
        <v>62</v>
      </c>
      <c r="C95" s="540"/>
      <c r="D95" s="540"/>
      <c r="E95" s="555"/>
      <c r="F95" s="555"/>
      <c r="G95" s="631"/>
      <c r="H95" s="146">
        <v>812</v>
      </c>
      <c r="I95" s="532"/>
      <c r="J95" s="170"/>
      <c r="K95" s="145">
        <f t="shared" si="15"/>
        <v>0.35</v>
      </c>
      <c r="L95" s="550"/>
      <c r="M95" s="146">
        <f t="shared" si="16"/>
        <v>527.79999999999995</v>
      </c>
      <c r="N95" s="358">
        <f t="shared" si="17"/>
        <v>0</v>
      </c>
      <c r="O95" s="338" t="s">
        <v>319</v>
      </c>
      <c r="P95" s="336">
        <v>0.249</v>
      </c>
      <c r="Q95" s="367">
        <v>44</v>
      </c>
      <c r="T95" s="92"/>
    </row>
    <row r="96" spans="1:20" ht="15" customHeight="1">
      <c r="A96" s="530"/>
      <c r="B96" s="135" t="s">
        <v>1271</v>
      </c>
      <c r="C96" s="540"/>
      <c r="D96" s="540"/>
      <c r="E96" s="555"/>
      <c r="F96" s="555"/>
      <c r="G96" s="631"/>
      <c r="H96" s="146">
        <v>83</v>
      </c>
      <c r="I96" s="532"/>
      <c r="J96" s="170"/>
      <c r="K96" s="145">
        <f t="shared" si="15"/>
        <v>0.35</v>
      </c>
      <c r="L96" s="550"/>
      <c r="M96" s="146">
        <f t="shared" si="16"/>
        <v>53.95</v>
      </c>
      <c r="N96" s="358">
        <f t="shared" si="17"/>
        <v>0</v>
      </c>
      <c r="O96" s="338" t="s">
        <v>340</v>
      </c>
      <c r="P96" s="336">
        <v>6.9000000000000006E-2</v>
      </c>
      <c r="Q96" s="367">
        <v>4.5</v>
      </c>
      <c r="T96" s="92"/>
    </row>
    <row r="97" spans="1:44" ht="15" customHeight="1">
      <c r="A97" s="530" t="s">
        <v>154</v>
      </c>
      <c r="B97" s="135" t="s">
        <v>63</v>
      </c>
      <c r="C97" s="540" t="s">
        <v>1001</v>
      </c>
      <c r="D97" s="540" t="s">
        <v>1002</v>
      </c>
      <c r="E97" s="555" t="s">
        <v>89</v>
      </c>
      <c r="F97" s="555" t="s">
        <v>133</v>
      </c>
      <c r="G97" s="631">
        <f>H97+H98+H99</f>
        <v>2102</v>
      </c>
      <c r="H97" s="146">
        <v>1110</v>
      </c>
      <c r="I97" s="532">
        <v>142300</v>
      </c>
      <c r="J97" s="170"/>
      <c r="K97" s="145">
        <f t="shared" si="15"/>
        <v>0.35</v>
      </c>
      <c r="L97" s="550">
        <f>SUM(G97-(G97*K97))</f>
        <v>1366.3000000000002</v>
      </c>
      <c r="M97" s="146">
        <f t="shared" si="16"/>
        <v>721.5</v>
      </c>
      <c r="N97" s="358">
        <f t="shared" si="17"/>
        <v>0</v>
      </c>
      <c r="O97" s="338" t="s">
        <v>339</v>
      </c>
      <c r="P97" s="336">
        <v>0.12</v>
      </c>
      <c r="Q97" s="367">
        <v>18</v>
      </c>
      <c r="T97" s="92"/>
    </row>
    <row r="98" spans="1:44" ht="15" customHeight="1">
      <c r="A98" s="530"/>
      <c r="B98" s="135" t="s">
        <v>64</v>
      </c>
      <c r="C98" s="540"/>
      <c r="D98" s="540"/>
      <c r="E98" s="555"/>
      <c r="F98" s="555"/>
      <c r="G98" s="631"/>
      <c r="H98" s="146">
        <v>909</v>
      </c>
      <c r="I98" s="532"/>
      <c r="J98" s="170"/>
      <c r="K98" s="145">
        <f t="shared" si="15"/>
        <v>0.35</v>
      </c>
      <c r="L98" s="550"/>
      <c r="M98" s="146">
        <f t="shared" si="16"/>
        <v>590.85</v>
      </c>
      <c r="N98" s="358">
        <f t="shared" si="17"/>
        <v>0</v>
      </c>
      <c r="O98" s="338" t="s">
        <v>319</v>
      </c>
      <c r="P98" s="336">
        <v>0.249</v>
      </c>
      <c r="Q98" s="367">
        <v>44</v>
      </c>
      <c r="T98" s="92"/>
    </row>
    <row r="99" spans="1:44" ht="15" customHeight="1">
      <c r="A99" s="530"/>
      <c r="B99" s="135" t="s">
        <v>1271</v>
      </c>
      <c r="C99" s="540"/>
      <c r="D99" s="540"/>
      <c r="E99" s="555"/>
      <c r="F99" s="555"/>
      <c r="G99" s="631"/>
      <c r="H99" s="146">
        <v>83</v>
      </c>
      <c r="I99" s="532"/>
      <c r="J99" s="170"/>
      <c r="K99" s="145">
        <f t="shared" si="15"/>
        <v>0.35</v>
      </c>
      <c r="L99" s="550"/>
      <c r="M99" s="146">
        <f t="shared" si="16"/>
        <v>53.95</v>
      </c>
      <c r="N99" s="358">
        <f t="shared" si="17"/>
        <v>0</v>
      </c>
      <c r="O99" s="338" t="s">
        <v>340</v>
      </c>
      <c r="P99" s="336">
        <v>6.9000000000000006E-2</v>
      </c>
      <c r="Q99" s="367">
        <v>4.5</v>
      </c>
      <c r="T99" s="92"/>
    </row>
    <row r="100" spans="1:44" ht="15" customHeight="1">
      <c r="A100" s="530" t="s">
        <v>155</v>
      </c>
      <c r="B100" s="135" t="s">
        <v>65</v>
      </c>
      <c r="C100" s="540" t="s">
        <v>1003</v>
      </c>
      <c r="D100" s="540" t="s">
        <v>1004</v>
      </c>
      <c r="E100" s="555" t="s">
        <v>89</v>
      </c>
      <c r="F100" s="555" t="s">
        <v>116</v>
      </c>
      <c r="G100" s="631">
        <f>H100+H101+H102</f>
        <v>2273</v>
      </c>
      <c r="H100" s="146">
        <v>1226</v>
      </c>
      <c r="I100" s="532">
        <v>153800</v>
      </c>
      <c r="J100" s="170"/>
      <c r="K100" s="145">
        <f t="shared" si="15"/>
        <v>0.35</v>
      </c>
      <c r="L100" s="550">
        <f>SUM(G100-(G100*K100))</f>
        <v>1477.45</v>
      </c>
      <c r="M100" s="146">
        <f t="shared" si="16"/>
        <v>796.90000000000009</v>
      </c>
      <c r="N100" s="358">
        <f t="shared" si="17"/>
        <v>0</v>
      </c>
      <c r="O100" s="338" t="s">
        <v>339</v>
      </c>
      <c r="P100" s="336">
        <v>0.12</v>
      </c>
      <c r="Q100" s="370">
        <v>18</v>
      </c>
      <c r="T100" s="92"/>
    </row>
    <row r="101" spans="1:44" ht="15" customHeight="1">
      <c r="A101" s="530"/>
      <c r="B101" s="135" t="s">
        <v>820</v>
      </c>
      <c r="C101" s="540"/>
      <c r="D101" s="540"/>
      <c r="E101" s="555"/>
      <c r="F101" s="555"/>
      <c r="G101" s="631"/>
      <c r="H101" s="146">
        <v>964</v>
      </c>
      <c r="I101" s="532"/>
      <c r="J101" s="170"/>
      <c r="K101" s="145">
        <f t="shared" si="15"/>
        <v>0.35</v>
      </c>
      <c r="L101" s="550"/>
      <c r="M101" s="146">
        <f t="shared" si="16"/>
        <v>626.6</v>
      </c>
      <c r="N101" s="358">
        <f t="shared" si="17"/>
        <v>0</v>
      </c>
      <c r="O101" s="338" t="s">
        <v>319</v>
      </c>
      <c r="P101" s="336">
        <v>0.249</v>
      </c>
      <c r="Q101" s="370">
        <v>44</v>
      </c>
      <c r="T101" s="92"/>
    </row>
    <row r="102" spans="1:44" ht="15" customHeight="1">
      <c r="A102" s="530"/>
      <c r="B102" s="135" t="s">
        <v>1271</v>
      </c>
      <c r="C102" s="540"/>
      <c r="D102" s="540"/>
      <c r="E102" s="555"/>
      <c r="F102" s="555"/>
      <c r="G102" s="631"/>
      <c r="H102" s="146">
        <v>83</v>
      </c>
      <c r="I102" s="532"/>
      <c r="J102" s="170"/>
      <c r="K102" s="145">
        <f t="shared" si="15"/>
        <v>0.35</v>
      </c>
      <c r="L102" s="550"/>
      <c r="M102" s="146">
        <f t="shared" si="16"/>
        <v>53.95</v>
      </c>
      <c r="N102" s="358">
        <f t="shared" si="17"/>
        <v>0</v>
      </c>
      <c r="O102" s="338" t="s">
        <v>340</v>
      </c>
      <c r="P102" s="336">
        <v>6.9000000000000006E-2</v>
      </c>
      <c r="Q102" s="370">
        <v>4.5</v>
      </c>
      <c r="T102" s="92"/>
    </row>
    <row r="103" spans="1:44" ht="15" customHeight="1">
      <c r="A103" s="530" t="s">
        <v>197</v>
      </c>
      <c r="B103" s="135" t="s">
        <v>65</v>
      </c>
      <c r="C103" s="540" t="s">
        <v>1003</v>
      </c>
      <c r="D103" s="540" t="s">
        <v>1004</v>
      </c>
      <c r="E103" s="555" t="s">
        <v>89</v>
      </c>
      <c r="F103" s="555" t="s">
        <v>116</v>
      </c>
      <c r="G103" s="631">
        <f>H103+H104+H105</f>
        <v>2273</v>
      </c>
      <c r="H103" s="146">
        <v>1226</v>
      </c>
      <c r="I103" s="532">
        <v>153800</v>
      </c>
      <c r="J103" s="170"/>
      <c r="K103" s="145">
        <f t="shared" si="15"/>
        <v>0.35</v>
      </c>
      <c r="L103" s="550">
        <f>SUM(G103-(G103*K103))</f>
        <v>1477.45</v>
      </c>
      <c r="M103" s="146">
        <f t="shared" si="16"/>
        <v>796.90000000000009</v>
      </c>
      <c r="N103" s="358">
        <f>J103*M103</f>
        <v>0</v>
      </c>
      <c r="O103" s="338" t="s">
        <v>339</v>
      </c>
      <c r="P103" s="336">
        <v>0.12</v>
      </c>
      <c r="Q103" s="370">
        <v>18</v>
      </c>
      <c r="T103" s="92"/>
    </row>
    <row r="104" spans="1:44" ht="15" customHeight="1">
      <c r="A104" s="530"/>
      <c r="B104" s="135" t="s">
        <v>802</v>
      </c>
      <c r="C104" s="540"/>
      <c r="D104" s="540"/>
      <c r="E104" s="555"/>
      <c r="F104" s="555"/>
      <c r="G104" s="631"/>
      <c r="H104" s="146">
        <v>964</v>
      </c>
      <c r="I104" s="532"/>
      <c r="J104" s="170"/>
      <c r="K104" s="145">
        <f t="shared" si="15"/>
        <v>0.35</v>
      </c>
      <c r="L104" s="550"/>
      <c r="M104" s="146">
        <f t="shared" si="16"/>
        <v>626.6</v>
      </c>
      <c r="N104" s="358">
        <f>J104*M104</f>
        <v>0</v>
      </c>
      <c r="O104" s="338" t="s">
        <v>319</v>
      </c>
      <c r="P104" s="336">
        <v>0.249</v>
      </c>
      <c r="Q104" s="370">
        <v>44</v>
      </c>
      <c r="T104" s="92"/>
    </row>
    <row r="105" spans="1:44" ht="15" customHeight="1">
      <c r="A105" s="530"/>
      <c r="B105" s="135" t="s">
        <v>1271</v>
      </c>
      <c r="C105" s="540"/>
      <c r="D105" s="540"/>
      <c r="E105" s="555"/>
      <c r="F105" s="555"/>
      <c r="G105" s="631"/>
      <c r="H105" s="146">
        <v>83</v>
      </c>
      <c r="I105" s="532"/>
      <c r="J105" s="170"/>
      <c r="K105" s="145">
        <f t="shared" si="15"/>
        <v>0.35</v>
      </c>
      <c r="L105" s="550"/>
      <c r="M105" s="146">
        <f t="shared" si="16"/>
        <v>53.95</v>
      </c>
      <c r="N105" s="358">
        <f>J105*M105</f>
        <v>0</v>
      </c>
      <c r="O105" s="338" t="s">
        <v>340</v>
      </c>
      <c r="P105" s="336">
        <v>6.9000000000000006E-2</v>
      </c>
      <c r="Q105" s="370">
        <v>4.5</v>
      </c>
      <c r="T105" s="92"/>
    </row>
    <row r="106" spans="1:44" s="65" customFormat="1" ht="15" customHeight="1">
      <c r="A106" s="530" t="s">
        <v>199</v>
      </c>
      <c r="B106" s="143" t="s">
        <v>200</v>
      </c>
      <c r="C106" s="632" t="s">
        <v>1005</v>
      </c>
      <c r="D106" s="632" t="s">
        <v>1006</v>
      </c>
      <c r="E106" s="535" t="s">
        <v>89</v>
      </c>
      <c r="F106" s="535" t="s">
        <v>116</v>
      </c>
      <c r="G106" s="631">
        <f>H106+H107+H108</f>
        <v>2509</v>
      </c>
      <c r="H106" s="146">
        <v>1523</v>
      </c>
      <c r="I106" s="532">
        <v>169800</v>
      </c>
      <c r="J106" s="170"/>
      <c r="K106" s="145">
        <f t="shared" si="15"/>
        <v>0.35</v>
      </c>
      <c r="L106" s="550">
        <f>SUM(G106-(G106*K106))</f>
        <v>1630.85</v>
      </c>
      <c r="M106" s="146">
        <f t="shared" si="16"/>
        <v>989.95</v>
      </c>
      <c r="N106" s="358">
        <f t="shared" si="17"/>
        <v>0</v>
      </c>
      <c r="O106" s="338" t="s">
        <v>339</v>
      </c>
      <c r="P106" s="336">
        <v>0.12</v>
      </c>
      <c r="Q106" s="370">
        <v>20</v>
      </c>
      <c r="R106" s="63"/>
      <c r="S106" s="57"/>
      <c r="T106" s="92"/>
      <c r="U106" s="57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s="66" customFormat="1" ht="15" customHeight="1">
      <c r="A107" s="530"/>
      <c r="B107" s="143" t="s">
        <v>290</v>
      </c>
      <c r="C107" s="543"/>
      <c r="D107" s="543"/>
      <c r="E107" s="535"/>
      <c r="F107" s="535"/>
      <c r="G107" s="631"/>
      <c r="H107" s="146">
        <v>903</v>
      </c>
      <c r="I107" s="532"/>
      <c r="J107" s="170"/>
      <c r="K107" s="145">
        <f t="shared" si="15"/>
        <v>0.35</v>
      </c>
      <c r="L107" s="550"/>
      <c r="M107" s="146">
        <f t="shared" si="16"/>
        <v>586.95000000000005</v>
      </c>
      <c r="N107" s="358">
        <f t="shared" si="17"/>
        <v>0</v>
      </c>
      <c r="O107" s="338" t="s">
        <v>328</v>
      </c>
      <c r="P107" s="336">
        <v>0.249</v>
      </c>
      <c r="Q107" s="370">
        <v>48</v>
      </c>
      <c r="R107" s="64"/>
      <c r="S107" s="57"/>
      <c r="T107" s="92"/>
      <c r="U107" s="57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</row>
    <row r="108" spans="1:44" s="66" customFormat="1" ht="15" customHeight="1">
      <c r="A108" s="530"/>
      <c r="B108" s="143" t="s">
        <v>1271</v>
      </c>
      <c r="C108" s="543"/>
      <c r="D108" s="543"/>
      <c r="E108" s="535"/>
      <c r="F108" s="535"/>
      <c r="G108" s="631"/>
      <c r="H108" s="146">
        <v>83</v>
      </c>
      <c r="I108" s="532"/>
      <c r="J108" s="170"/>
      <c r="K108" s="145">
        <f t="shared" si="15"/>
        <v>0.35</v>
      </c>
      <c r="L108" s="550"/>
      <c r="M108" s="146">
        <f t="shared" si="16"/>
        <v>53.95</v>
      </c>
      <c r="N108" s="358">
        <f t="shared" si="17"/>
        <v>0</v>
      </c>
      <c r="O108" s="338" t="s">
        <v>340</v>
      </c>
      <c r="P108" s="336">
        <v>6.9000000000000006E-2</v>
      </c>
      <c r="Q108" s="370">
        <v>4.5</v>
      </c>
      <c r="R108" s="64"/>
      <c r="S108" s="57"/>
      <c r="T108" s="92"/>
      <c r="U108" s="57"/>
      <c r="V108" s="57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</row>
    <row r="109" spans="1:44" s="65" customFormat="1" ht="15" customHeight="1">
      <c r="A109" s="530" t="s">
        <v>199</v>
      </c>
      <c r="B109" s="143" t="s">
        <v>200</v>
      </c>
      <c r="C109" s="632" t="s">
        <v>1005</v>
      </c>
      <c r="D109" s="632" t="s">
        <v>1006</v>
      </c>
      <c r="E109" s="535" t="s">
        <v>89</v>
      </c>
      <c r="F109" s="535" t="s">
        <v>116</v>
      </c>
      <c r="G109" s="631">
        <f>H109+H110+H111</f>
        <v>2509</v>
      </c>
      <c r="H109" s="146">
        <v>1523</v>
      </c>
      <c r="I109" s="532">
        <v>169800</v>
      </c>
      <c r="J109" s="170"/>
      <c r="K109" s="145">
        <f t="shared" si="15"/>
        <v>0.35</v>
      </c>
      <c r="L109" s="550">
        <f>SUM(G109-(G109*K109))</f>
        <v>1630.85</v>
      </c>
      <c r="M109" s="146">
        <f t="shared" si="16"/>
        <v>989.95</v>
      </c>
      <c r="N109" s="358">
        <f>J109*M109</f>
        <v>0</v>
      </c>
      <c r="O109" s="338" t="s">
        <v>339</v>
      </c>
      <c r="P109" s="336">
        <v>0.12</v>
      </c>
      <c r="Q109" s="370">
        <v>20</v>
      </c>
      <c r="R109" s="63"/>
      <c r="S109" s="57"/>
      <c r="T109" s="92"/>
      <c r="U109" s="57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s="66" customFormat="1" ht="15" customHeight="1">
      <c r="A110" s="530"/>
      <c r="B110" s="143" t="s">
        <v>821</v>
      </c>
      <c r="C110" s="543"/>
      <c r="D110" s="543"/>
      <c r="E110" s="535"/>
      <c r="F110" s="535"/>
      <c r="G110" s="631"/>
      <c r="H110" s="146">
        <v>903</v>
      </c>
      <c r="I110" s="532"/>
      <c r="J110" s="170"/>
      <c r="K110" s="145">
        <f t="shared" si="15"/>
        <v>0.35</v>
      </c>
      <c r="L110" s="550"/>
      <c r="M110" s="146">
        <f t="shared" si="16"/>
        <v>586.95000000000005</v>
      </c>
      <c r="N110" s="358">
        <f>J110*M110</f>
        <v>0</v>
      </c>
      <c r="O110" s="338" t="s">
        <v>328</v>
      </c>
      <c r="P110" s="336">
        <v>0.249</v>
      </c>
      <c r="Q110" s="370">
        <v>48</v>
      </c>
      <c r="R110" s="64"/>
      <c r="S110" s="57"/>
      <c r="T110" s="92"/>
      <c r="U110" s="57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</row>
    <row r="111" spans="1:44" s="66" customFormat="1" ht="15" customHeight="1">
      <c r="A111" s="530"/>
      <c r="B111" s="143" t="s">
        <v>1271</v>
      </c>
      <c r="C111" s="543"/>
      <c r="D111" s="543"/>
      <c r="E111" s="535"/>
      <c r="F111" s="535"/>
      <c r="G111" s="631"/>
      <c r="H111" s="146">
        <v>83</v>
      </c>
      <c r="I111" s="532"/>
      <c r="J111" s="170"/>
      <c r="K111" s="145">
        <f t="shared" si="15"/>
        <v>0.35</v>
      </c>
      <c r="L111" s="550"/>
      <c r="M111" s="146">
        <f t="shared" si="16"/>
        <v>53.95</v>
      </c>
      <c r="N111" s="358">
        <f>J111*M111</f>
        <v>0</v>
      </c>
      <c r="O111" s="338" t="s">
        <v>340</v>
      </c>
      <c r="P111" s="336">
        <v>6.9000000000000006E-2</v>
      </c>
      <c r="Q111" s="370">
        <v>4.5</v>
      </c>
      <c r="R111" s="64"/>
      <c r="S111" s="57"/>
      <c r="T111" s="92"/>
      <c r="U111" s="57"/>
      <c r="V111" s="57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</row>
    <row r="112" spans="1:44" ht="47.25" customHeight="1">
      <c r="A112" s="652" t="s">
        <v>1231</v>
      </c>
      <c r="B112" s="653"/>
      <c r="C112" s="653"/>
      <c r="D112" s="653"/>
      <c r="E112" s="653"/>
      <c r="F112" s="653"/>
      <c r="G112" s="653"/>
      <c r="H112" s="653"/>
      <c r="I112" s="653"/>
      <c r="J112" s="653"/>
      <c r="K112" s="653"/>
      <c r="L112" s="653"/>
      <c r="M112" s="653"/>
      <c r="N112" s="149"/>
      <c r="O112" s="150"/>
      <c r="P112" s="150"/>
      <c r="Q112" s="399"/>
      <c r="T112" s="92"/>
    </row>
    <row r="113" spans="1:44" ht="36.75" customHeight="1">
      <c r="A113" s="537" t="s">
        <v>159</v>
      </c>
      <c r="B113" s="538"/>
      <c r="C113" s="538"/>
      <c r="D113" s="538"/>
      <c r="E113" s="538"/>
      <c r="F113" s="538"/>
      <c r="G113" s="538"/>
      <c r="H113" s="538"/>
      <c r="I113" s="538"/>
      <c r="J113" s="538"/>
      <c r="K113" s="538"/>
      <c r="L113" s="538"/>
      <c r="M113" s="538"/>
      <c r="N113" s="538"/>
      <c r="O113" s="538"/>
      <c r="P113" s="538"/>
      <c r="Q113" s="539"/>
      <c r="T113" s="92"/>
    </row>
    <row r="114" spans="1:44" s="66" customFormat="1" ht="15" customHeight="1">
      <c r="A114" s="530" t="s">
        <v>1281</v>
      </c>
      <c r="B114" s="135" t="s">
        <v>1280</v>
      </c>
      <c r="C114" s="633" t="s">
        <v>1235</v>
      </c>
      <c r="D114" s="633" t="s">
        <v>1236</v>
      </c>
      <c r="E114" s="555" t="s">
        <v>1237</v>
      </c>
      <c r="F114" s="555" t="s">
        <v>1238</v>
      </c>
      <c r="G114" s="631">
        <f>H114+H115+H116</f>
        <v>1621</v>
      </c>
      <c r="H114" s="146">
        <v>711</v>
      </c>
      <c r="I114" s="532">
        <v>109800</v>
      </c>
      <c r="J114" s="170"/>
      <c r="K114" s="145">
        <f t="shared" ref="K114:K131" si="18">$E$3</f>
        <v>0.35</v>
      </c>
      <c r="L114" s="550">
        <f>SUM(G114-(G114*K114))</f>
        <v>1053.6500000000001</v>
      </c>
      <c r="M114" s="146">
        <f t="shared" ref="M114:M116" si="19">SUM(H114-(H114*K114))</f>
        <v>462.15</v>
      </c>
      <c r="N114" s="358">
        <f t="shared" ref="N114:N116" si="20">J114*M114</f>
        <v>0</v>
      </c>
      <c r="O114" s="338" t="s">
        <v>339</v>
      </c>
      <c r="P114" s="336">
        <v>0.12</v>
      </c>
      <c r="Q114" s="367">
        <v>19</v>
      </c>
      <c r="R114" s="64"/>
      <c r="S114" s="57"/>
      <c r="T114" s="92"/>
      <c r="U114" s="57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</row>
    <row r="115" spans="1:44" s="66" customFormat="1" ht="15" customHeight="1">
      <c r="A115" s="530"/>
      <c r="B115" s="135" t="s">
        <v>1232</v>
      </c>
      <c r="C115" s="540"/>
      <c r="D115" s="540"/>
      <c r="E115" s="555"/>
      <c r="F115" s="555"/>
      <c r="G115" s="631"/>
      <c r="H115" s="146">
        <v>830</v>
      </c>
      <c r="I115" s="532"/>
      <c r="J115" s="170"/>
      <c r="K115" s="145">
        <f t="shared" si="18"/>
        <v>0.35</v>
      </c>
      <c r="L115" s="550"/>
      <c r="M115" s="146">
        <f t="shared" si="19"/>
        <v>539.5</v>
      </c>
      <c r="N115" s="358">
        <f t="shared" si="20"/>
        <v>0</v>
      </c>
      <c r="O115" s="338" t="s">
        <v>887</v>
      </c>
      <c r="P115" s="336">
        <v>0.125</v>
      </c>
      <c r="Q115" s="367">
        <v>35</v>
      </c>
      <c r="R115" s="64"/>
      <c r="S115" s="57"/>
      <c r="T115" s="92"/>
      <c r="U115" s="57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</row>
    <row r="116" spans="1:44" s="66" customFormat="1" ht="15" customHeight="1">
      <c r="A116" s="530"/>
      <c r="B116" s="135" t="s">
        <v>1272</v>
      </c>
      <c r="C116" s="540"/>
      <c r="D116" s="540"/>
      <c r="E116" s="555"/>
      <c r="F116" s="555"/>
      <c r="G116" s="631"/>
      <c r="H116" s="146">
        <v>80</v>
      </c>
      <c r="I116" s="532"/>
      <c r="J116" s="170"/>
      <c r="K116" s="145">
        <f t="shared" si="18"/>
        <v>0.35</v>
      </c>
      <c r="L116" s="550"/>
      <c r="M116" s="146">
        <f t="shared" si="19"/>
        <v>52</v>
      </c>
      <c r="N116" s="358">
        <f t="shared" si="20"/>
        <v>0</v>
      </c>
      <c r="O116" s="338" t="s">
        <v>1245</v>
      </c>
      <c r="P116" s="336">
        <v>1.7999999999999999E-2</v>
      </c>
      <c r="Q116" s="367">
        <v>4.5</v>
      </c>
      <c r="R116" s="64"/>
      <c r="S116" s="57"/>
      <c r="T116" s="92"/>
      <c r="U116" s="57"/>
      <c r="V116" s="57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</row>
    <row r="117" spans="1:44" s="66" customFormat="1" ht="15" customHeight="1">
      <c r="A117" s="530" t="s">
        <v>1282</v>
      </c>
      <c r="B117" s="135" t="s">
        <v>1284</v>
      </c>
      <c r="C117" s="540" t="s">
        <v>999</v>
      </c>
      <c r="D117" s="540" t="s">
        <v>1000</v>
      </c>
      <c r="E117" s="555" t="s">
        <v>1239</v>
      </c>
      <c r="F117" s="555" t="s">
        <v>1240</v>
      </c>
      <c r="G117" s="631">
        <f>H117+H118+H119</f>
        <v>1693</v>
      </c>
      <c r="H117" s="146">
        <v>731</v>
      </c>
      <c r="I117" s="532">
        <v>114700</v>
      </c>
      <c r="J117" s="170"/>
      <c r="K117" s="145">
        <f t="shared" si="18"/>
        <v>0.35</v>
      </c>
      <c r="L117" s="550">
        <f>SUM(G117-(G117*K117))</f>
        <v>1100.45</v>
      </c>
      <c r="M117" s="146">
        <f t="shared" ref="M117:M128" si="21">SUM(H117-(H117*K117))</f>
        <v>475.15</v>
      </c>
      <c r="N117" s="358">
        <f t="shared" ref="N117:N125" si="22">J117*M117</f>
        <v>0</v>
      </c>
      <c r="O117" s="338" t="s">
        <v>339</v>
      </c>
      <c r="P117" s="336">
        <v>0.12</v>
      </c>
      <c r="Q117" s="367">
        <v>19</v>
      </c>
      <c r="R117" s="64"/>
      <c r="S117" s="57"/>
      <c r="T117" s="92"/>
      <c r="U117" s="57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</row>
    <row r="118" spans="1:44" s="66" customFormat="1" ht="15" customHeight="1">
      <c r="A118" s="530"/>
      <c r="B118" s="135" t="s">
        <v>1233</v>
      </c>
      <c r="C118" s="540"/>
      <c r="D118" s="540"/>
      <c r="E118" s="555"/>
      <c r="F118" s="555"/>
      <c r="G118" s="631"/>
      <c r="H118" s="146">
        <v>882</v>
      </c>
      <c r="I118" s="532"/>
      <c r="J118" s="170"/>
      <c r="K118" s="145">
        <f t="shared" si="18"/>
        <v>0.35</v>
      </c>
      <c r="L118" s="550"/>
      <c r="M118" s="146">
        <f t="shared" si="21"/>
        <v>573.29999999999995</v>
      </c>
      <c r="N118" s="358">
        <f t="shared" si="22"/>
        <v>0</v>
      </c>
      <c r="O118" s="338" t="s">
        <v>887</v>
      </c>
      <c r="P118" s="336">
        <v>0.125</v>
      </c>
      <c r="Q118" s="367">
        <v>37</v>
      </c>
      <c r="R118" s="64"/>
      <c r="S118" s="57"/>
      <c r="T118" s="92"/>
      <c r="U118" s="57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</row>
    <row r="119" spans="1:44" s="66" customFormat="1" ht="15" customHeight="1">
      <c r="A119" s="530"/>
      <c r="B119" s="135" t="s">
        <v>1272</v>
      </c>
      <c r="C119" s="540"/>
      <c r="D119" s="540"/>
      <c r="E119" s="555"/>
      <c r="F119" s="555"/>
      <c r="G119" s="631"/>
      <c r="H119" s="146">
        <v>80</v>
      </c>
      <c r="I119" s="532"/>
      <c r="J119" s="170"/>
      <c r="K119" s="145">
        <f t="shared" si="18"/>
        <v>0.35</v>
      </c>
      <c r="L119" s="550"/>
      <c r="M119" s="146">
        <f t="shared" si="21"/>
        <v>52</v>
      </c>
      <c r="N119" s="358">
        <f t="shared" si="22"/>
        <v>0</v>
      </c>
      <c r="O119" s="338" t="s">
        <v>1245</v>
      </c>
      <c r="P119" s="336">
        <v>1.7999999999999999E-2</v>
      </c>
      <c r="Q119" s="367">
        <v>4.5</v>
      </c>
      <c r="R119" s="64"/>
      <c r="S119" s="57"/>
      <c r="T119" s="92"/>
      <c r="U119" s="57"/>
      <c r="V119" s="57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</row>
    <row r="120" spans="1:44" s="66" customFormat="1" ht="15" customHeight="1">
      <c r="A120" s="530" t="s">
        <v>1283</v>
      </c>
      <c r="B120" s="135" t="s">
        <v>1285</v>
      </c>
      <c r="C120" s="540" t="s">
        <v>1001</v>
      </c>
      <c r="D120" s="540" t="s">
        <v>1002</v>
      </c>
      <c r="E120" s="555" t="s">
        <v>1241</v>
      </c>
      <c r="F120" s="555" t="s">
        <v>1221</v>
      </c>
      <c r="G120" s="631">
        <f>H120+H121+H122</f>
        <v>1982</v>
      </c>
      <c r="H120" s="146">
        <v>916</v>
      </c>
      <c r="I120" s="532">
        <v>134200</v>
      </c>
      <c r="J120" s="170"/>
      <c r="K120" s="145">
        <f t="shared" si="18"/>
        <v>0.35</v>
      </c>
      <c r="L120" s="550">
        <f>SUM(G120-(G120*K120))</f>
        <v>1288.3000000000002</v>
      </c>
      <c r="M120" s="146">
        <f t="shared" si="21"/>
        <v>595.40000000000009</v>
      </c>
      <c r="N120" s="358">
        <f t="shared" si="22"/>
        <v>0</v>
      </c>
      <c r="O120" s="338" t="s">
        <v>339</v>
      </c>
      <c r="P120" s="336">
        <v>0.12</v>
      </c>
      <c r="Q120" s="367">
        <v>19</v>
      </c>
      <c r="R120" s="64"/>
      <c r="S120" s="57"/>
      <c r="T120" s="92"/>
      <c r="U120" s="57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</row>
    <row r="121" spans="1:44" s="66" customFormat="1" ht="15" customHeight="1">
      <c r="A121" s="530"/>
      <c r="B121" s="135" t="s">
        <v>1234</v>
      </c>
      <c r="C121" s="540"/>
      <c r="D121" s="540"/>
      <c r="E121" s="555"/>
      <c r="F121" s="555"/>
      <c r="G121" s="631"/>
      <c r="H121" s="146">
        <v>986</v>
      </c>
      <c r="I121" s="532"/>
      <c r="J121" s="170"/>
      <c r="K121" s="145">
        <f t="shared" si="18"/>
        <v>0.35</v>
      </c>
      <c r="L121" s="550"/>
      <c r="M121" s="146">
        <f t="shared" si="21"/>
        <v>640.90000000000009</v>
      </c>
      <c r="N121" s="358">
        <f t="shared" si="22"/>
        <v>0</v>
      </c>
      <c r="O121" s="338" t="s">
        <v>887</v>
      </c>
      <c r="P121" s="336">
        <v>0.125</v>
      </c>
      <c r="Q121" s="367">
        <v>37</v>
      </c>
      <c r="R121" s="64"/>
      <c r="S121" s="57"/>
      <c r="T121" s="92"/>
      <c r="U121" s="57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</row>
    <row r="122" spans="1:44" s="66" customFormat="1" ht="15" customHeight="1">
      <c r="A122" s="530"/>
      <c r="B122" s="135" t="s">
        <v>1272</v>
      </c>
      <c r="C122" s="540"/>
      <c r="D122" s="540"/>
      <c r="E122" s="555"/>
      <c r="F122" s="555"/>
      <c r="G122" s="631"/>
      <c r="H122" s="146">
        <v>80</v>
      </c>
      <c r="I122" s="532"/>
      <c r="J122" s="170"/>
      <c r="K122" s="145">
        <f t="shared" si="18"/>
        <v>0.35</v>
      </c>
      <c r="L122" s="550"/>
      <c r="M122" s="146">
        <f t="shared" si="21"/>
        <v>52</v>
      </c>
      <c r="N122" s="358">
        <f t="shared" si="22"/>
        <v>0</v>
      </c>
      <c r="O122" s="338" t="s">
        <v>1245</v>
      </c>
      <c r="P122" s="336">
        <v>1.7999999999999999E-2</v>
      </c>
      <c r="Q122" s="367">
        <v>4.5</v>
      </c>
      <c r="R122" s="64"/>
      <c r="S122" s="57"/>
      <c r="T122" s="92"/>
      <c r="U122" s="57"/>
      <c r="V122" s="57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</row>
    <row r="123" spans="1:44" s="66" customFormat="1" ht="15" customHeight="1">
      <c r="A123" s="530" t="s">
        <v>1157</v>
      </c>
      <c r="B123" s="135" t="s">
        <v>1286</v>
      </c>
      <c r="C123" s="540" t="s">
        <v>1003</v>
      </c>
      <c r="D123" s="540" t="s">
        <v>1004</v>
      </c>
      <c r="E123" s="555" t="s">
        <v>241</v>
      </c>
      <c r="F123" s="555" t="s">
        <v>116</v>
      </c>
      <c r="G123" s="631">
        <f>H123+H124+H125</f>
        <v>2152</v>
      </c>
      <c r="H123" s="146">
        <v>983</v>
      </c>
      <c r="I123" s="532">
        <v>145700</v>
      </c>
      <c r="J123" s="170"/>
      <c r="K123" s="145">
        <f t="shared" si="18"/>
        <v>0.35</v>
      </c>
      <c r="L123" s="550">
        <f>SUM(G123-(G123*K123))</f>
        <v>1398.8000000000002</v>
      </c>
      <c r="M123" s="146">
        <f t="shared" si="21"/>
        <v>638.95000000000005</v>
      </c>
      <c r="N123" s="358">
        <f t="shared" si="22"/>
        <v>0</v>
      </c>
      <c r="O123" s="338" t="s">
        <v>339</v>
      </c>
      <c r="P123" s="336">
        <v>0.12</v>
      </c>
      <c r="Q123" s="370">
        <v>19</v>
      </c>
      <c r="R123" s="64"/>
      <c r="S123" s="57"/>
      <c r="T123" s="92"/>
      <c r="U123" s="57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</row>
    <row r="124" spans="1:44" s="66" customFormat="1" ht="15" customHeight="1">
      <c r="A124" s="530"/>
      <c r="B124" s="135" t="s">
        <v>1158</v>
      </c>
      <c r="C124" s="540"/>
      <c r="D124" s="540"/>
      <c r="E124" s="555"/>
      <c r="F124" s="555"/>
      <c r="G124" s="631"/>
      <c r="H124" s="146">
        <v>1089</v>
      </c>
      <c r="I124" s="532"/>
      <c r="J124" s="170"/>
      <c r="K124" s="145">
        <f t="shared" si="18"/>
        <v>0.35</v>
      </c>
      <c r="L124" s="550"/>
      <c r="M124" s="146">
        <f t="shared" si="21"/>
        <v>707.85</v>
      </c>
      <c r="N124" s="358">
        <f t="shared" si="22"/>
        <v>0</v>
      </c>
      <c r="O124" s="338" t="s">
        <v>888</v>
      </c>
      <c r="P124" s="336">
        <v>0.14599999999999999</v>
      </c>
      <c r="Q124" s="370">
        <v>40</v>
      </c>
      <c r="R124" s="64"/>
      <c r="S124" s="57"/>
      <c r="T124" s="92"/>
      <c r="U124" s="57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</row>
    <row r="125" spans="1:44" s="66" customFormat="1" ht="15" customHeight="1">
      <c r="A125" s="530"/>
      <c r="B125" s="135" t="s">
        <v>1272</v>
      </c>
      <c r="C125" s="540"/>
      <c r="D125" s="540"/>
      <c r="E125" s="555"/>
      <c r="F125" s="555"/>
      <c r="G125" s="631"/>
      <c r="H125" s="146">
        <v>80</v>
      </c>
      <c r="I125" s="532"/>
      <c r="J125" s="170"/>
      <c r="K125" s="145">
        <f t="shared" si="18"/>
        <v>0.35</v>
      </c>
      <c r="L125" s="550"/>
      <c r="M125" s="146">
        <f t="shared" si="21"/>
        <v>52</v>
      </c>
      <c r="N125" s="358">
        <f t="shared" si="22"/>
        <v>0</v>
      </c>
      <c r="O125" s="338" t="s">
        <v>1245</v>
      </c>
      <c r="P125" s="336">
        <v>1.7999999999999999E-2</v>
      </c>
      <c r="Q125" s="367">
        <v>4.5</v>
      </c>
      <c r="R125" s="64"/>
      <c r="S125" s="57"/>
      <c r="T125" s="92"/>
      <c r="U125" s="57"/>
      <c r="V125" s="57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</row>
    <row r="126" spans="1:44" s="66" customFormat="1" ht="15" customHeight="1">
      <c r="A126" s="530" t="s">
        <v>1159</v>
      </c>
      <c r="B126" s="143" t="s">
        <v>1287</v>
      </c>
      <c r="C126" s="632" t="s">
        <v>1242</v>
      </c>
      <c r="D126" s="632" t="s">
        <v>1243</v>
      </c>
      <c r="E126" s="535" t="s">
        <v>1244</v>
      </c>
      <c r="F126" s="535" t="s">
        <v>1123</v>
      </c>
      <c r="G126" s="631">
        <f>H126+H127+H128</f>
        <v>2871</v>
      </c>
      <c r="H126" s="146">
        <v>1146</v>
      </c>
      <c r="I126" s="532">
        <v>194300</v>
      </c>
      <c r="J126" s="170"/>
      <c r="K126" s="145">
        <f t="shared" si="18"/>
        <v>0.35</v>
      </c>
      <c r="L126" s="550">
        <f>SUM(G126-(G126*K126))</f>
        <v>1866.15</v>
      </c>
      <c r="M126" s="146">
        <f t="shared" si="21"/>
        <v>744.90000000000009</v>
      </c>
      <c r="N126" s="358">
        <f t="shared" ref="N126:N128" si="23">J126*M126</f>
        <v>0</v>
      </c>
      <c r="O126" s="338" t="s">
        <v>339</v>
      </c>
      <c r="P126" s="336">
        <v>0.12</v>
      </c>
      <c r="Q126" s="370">
        <v>20</v>
      </c>
      <c r="R126" s="64"/>
      <c r="S126" s="57"/>
      <c r="T126" s="92"/>
      <c r="U126" s="57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</row>
    <row r="127" spans="1:44" s="66" customFormat="1" ht="15" customHeight="1">
      <c r="A127" s="530"/>
      <c r="B127" s="143" t="s">
        <v>1161</v>
      </c>
      <c r="C127" s="543"/>
      <c r="D127" s="543"/>
      <c r="E127" s="535"/>
      <c r="F127" s="535"/>
      <c r="G127" s="631"/>
      <c r="H127" s="146">
        <v>1645</v>
      </c>
      <c r="I127" s="532"/>
      <c r="J127" s="170"/>
      <c r="K127" s="145">
        <f t="shared" si="18"/>
        <v>0.35</v>
      </c>
      <c r="L127" s="550"/>
      <c r="M127" s="146">
        <f t="shared" si="21"/>
        <v>1069.25</v>
      </c>
      <c r="N127" s="358">
        <f t="shared" si="23"/>
        <v>0</v>
      </c>
      <c r="O127" s="338" t="s">
        <v>888</v>
      </c>
      <c r="P127" s="336">
        <v>0.14599999999999999</v>
      </c>
      <c r="Q127" s="370">
        <v>42</v>
      </c>
      <c r="R127" s="64"/>
      <c r="S127" s="57"/>
      <c r="T127" s="92"/>
      <c r="U127" s="57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</row>
    <row r="128" spans="1:44" s="66" customFormat="1" ht="15" customHeight="1">
      <c r="A128" s="530"/>
      <c r="B128" s="135" t="s">
        <v>1272</v>
      </c>
      <c r="C128" s="543"/>
      <c r="D128" s="543"/>
      <c r="E128" s="535"/>
      <c r="F128" s="535"/>
      <c r="G128" s="631"/>
      <c r="H128" s="146">
        <v>80</v>
      </c>
      <c r="I128" s="532"/>
      <c r="J128" s="170"/>
      <c r="K128" s="145">
        <f t="shared" si="18"/>
        <v>0.35</v>
      </c>
      <c r="L128" s="550"/>
      <c r="M128" s="146">
        <f t="shared" si="21"/>
        <v>52</v>
      </c>
      <c r="N128" s="358">
        <f t="shared" si="23"/>
        <v>0</v>
      </c>
      <c r="O128" s="338" t="s">
        <v>1245</v>
      </c>
      <c r="P128" s="336">
        <v>1.7999999999999999E-2</v>
      </c>
      <c r="Q128" s="367">
        <v>4.5</v>
      </c>
      <c r="R128" s="64"/>
      <c r="S128" s="57"/>
      <c r="T128" s="92"/>
      <c r="U128" s="57"/>
      <c r="V128" s="57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</row>
    <row r="129" spans="1:44" s="66" customFormat="1" ht="15" customHeight="1">
      <c r="A129" s="530" t="s">
        <v>1162</v>
      </c>
      <c r="B129" s="143" t="s">
        <v>1288</v>
      </c>
      <c r="C129" s="632" t="s">
        <v>988</v>
      </c>
      <c r="D129" s="632" t="s">
        <v>1178</v>
      </c>
      <c r="E129" s="535" t="s">
        <v>117</v>
      </c>
      <c r="F129" s="535" t="s">
        <v>141</v>
      </c>
      <c r="G129" s="631">
        <f>H129+H130+H131</f>
        <v>3328</v>
      </c>
      <c r="H129" s="146">
        <v>1310</v>
      </c>
      <c r="I129" s="532">
        <v>225200</v>
      </c>
      <c r="J129" s="170"/>
      <c r="K129" s="145">
        <f t="shared" si="18"/>
        <v>0.35</v>
      </c>
      <c r="L129" s="550">
        <f>SUM(G129-(G129*K129))</f>
        <v>2163.1999999999998</v>
      </c>
      <c r="M129" s="146">
        <f t="shared" ref="M129:M131" si="24">SUM(H129-(H129*K129))</f>
        <v>851.5</v>
      </c>
      <c r="N129" s="358">
        <f t="shared" ref="N129:N131" si="25">J129*M129</f>
        <v>0</v>
      </c>
      <c r="O129" s="338" t="s">
        <v>339</v>
      </c>
      <c r="P129" s="336">
        <v>0.12</v>
      </c>
      <c r="Q129" s="370">
        <v>20</v>
      </c>
      <c r="R129" s="64"/>
      <c r="S129" s="57"/>
      <c r="T129" s="92"/>
      <c r="U129" s="57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</row>
    <row r="130" spans="1:44" s="66" customFormat="1" ht="15" customHeight="1">
      <c r="A130" s="530"/>
      <c r="B130" s="143" t="s">
        <v>1164</v>
      </c>
      <c r="C130" s="543"/>
      <c r="D130" s="543"/>
      <c r="E130" s="535"/>
      <c r="F130" s="535"/>
      <c r="G130" s="631"/>
      <c r="H130" s="146">
        <v>1938</v>
      </c>
      <c r="I130" s="532"/>
      <c r="J130" s="170"/>
      <c r="K130" s="145">
        <f t="shared" si="18"/>
        <v>0.35</v>
      </c>
      <c r="L130" s="550"/>
      <c r="M130" s="146">
        <f t="shared" si="24"/>
        <v>1259.7</v>
      </c>
      <c r="N130" s="358">
        <f t="shared" si="25"/>
        <v>0</v>
      </c>
      <c r="O130" s="338" t="s">
        <v>891</v>
      </c>
      <c r="P130" s="336">
        <v>0.184</v>
      </c>
      <c r="Q130" s="370">
        <v>46</v>
      </c>
      <c r="R130" s="64"/>
      <c r="S130" s="57"/>
      <c r="T130" s="92"/>
      <c r="U130" s="57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</row>
    <row r="131" spans="1:44" s="66" customFormat="1" ht="15" customHeight="1">
      <c r="A131" s="530"/>
      <c r="B131" s="135" t="s">
        <v>1272</v>
      </c>
      <c r="C131" s="543"/>
      <c r="D131" s="543"/>
      <c r="E131" s="535"/>
      <c r="F131" s="535"/>
      <c r="G131" s="631"/>
      <c r="H131" s="146">
        <v>80</v>
      </c>
      <c r="I131" s="532"/>
      <c r="J131" s="170"/>
      <c r="K131" s="145">
        <f t="shared" si="18"/>
        <v>0.35</v>
      </c>
      <c r="L131" s="550"/>
      <c r="M131" s="146">
        <f t="shared" si="24"/>
        <v>52</v>
      </c>
      <c r="N131" s="358">
        <f t="shared" si="25"/>
        <v>0</v>
      </c>
      <c r="O131" s="338" t="s">
        <v>1245</v>
      </c>
      <c r="P131" s="336">
        <v>1.7999999999999999E-2</v>
      </c>
      <c r="Q131" s="367">
        <v>4.5</v>
      </c>
      <c r="R131" s="64"/>
      <c r="S131" s="57"/>
      <c r="T131" s="92"/>
      <c r="U131" s="57"/>
      <c r="V131" s="57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</row>
    <row r="132" spans="1:44" ht="47.25" customHeight="1">
      <c r="A132" s="652" t="s">
        <v>1246</v>
      </c>
      <c r="B132" s="653"/>
      <c r="C132" s="653"/>
      <c r="D132" s="653"/>
      <c r="E132" s="653"/>
      <c r="F132" s="653"/>
      <c r="G132" s="653"/>
      <c r="H132" s="653"/>
      <c r="I132" s="653"/>
      <c r="J132" s="653"/>
      <c r="K132" s="653"/>
      <c r="L132" s="653"/>
      <c r="M132" s="653"/>
      <c r="N132" s="149"/>
      <c r="O132" s="150"/>
      <c r="P132" s="150"/>
      <c r="Q132" s="399"/>
      <c r="T132" s="92"/>
    </row>
    <row r="133" spans="1:44" ht="36.75" customHeight="1">
      <c r="A133" s="537" t="s">
        <v>159</v>
      </c>
      <c r="B133" s="538"/>
      <c r="C133" s="538"/>
      <c r="D133" s="538"/>
      <c r="E133" s="538"/>
      <c r="F133" s="538"/>
      <c r="G133" s="538"/>
      <c r="H133" s="538"/>
      <c r="I133" s="538"/>
      <c r="J133" s="538"/>
      <c r="K133" s="538"/>
      <c r="L133" s="538"/>
      <c r="M133" s="538"/>
      <c r="N133" s="538"/>
      <c r="O133" s="538"/>
      <c r="P133" s="538"/>
      <c r="Q133" s="539"/>
      <c r="T133" s="92"/>
    </row>
    <row r="134" spans="1:44" s="66" customFormat="1" ht="15" customHeight="1">
      <c r="A134" s="530" t="s">
        <v>1281</v>
      </c>
      <c r="B134" s="135" t="s">
        <v>1280</v>
      </c>
      <c r="C134" s="633" t="s">
        <v>1250</v>
      </c>
      <c r="D134" s="633" t="s">
        <v>1251</v>
      </c>
      <c r="E134" s="555" t="s">
        <v>114</v>
      </c>
      <c r="F134" s="555" t="s">
        <v>1252</v>
      </c>
      <c r="G134" s="631">
        <f>H134+H135+H136</f>
        <v>1414</v>
      </c>
      <c r="H134" s="146">
        <v>711</v>
      </c>
      <c r="I134" s="532">
        <v>95800</v>
      </c>
      <c r="J134" s="170"/>
      <c r="K134" s="145">
        <f t="shared" ref="K134:K151" si="26">$E$3</f>
        <v>0.35</v>
      </c>
      <c r="L134" s="550">
        <f>SUM(G134-(G134*K134))</f>
        <v>919.1</v>
      </c>
      <c r="M134" s="146">
        <f t="shared" ref="M134:M151" si="27">SUM(H134-(H134*K134))</f>
        <v>462.15</v>
      </c>
      <c r="N134" s="358">
        <f t="shared" ref="N134:N151" si="28">J134*M134</f>
        <v>0</v>
      </c>
      <c r="O134" s="338" t="s">
        <v>339</v>
      </c>
      <c r="P134" s="336">
        <v>0.12</v>
      </c>
      <c r="Q134" s="367">
        <v>19</v>
      </c>
      <c r="R134" s="64"/>
      <c r="S134" s="57"/>
      <c r="T134" s="92"/>
      <c r="U134" s="57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</row>
    <row r="135" spans="1:44" s="66" customFormat="1" ht="15" customHeight="1">
      <c r="A135" s="530"/>
      <c r="B135" s="135" t="s">
        <v>1247</v>
      </c>
      <c r="C135" s="540"/>
      <c r="D135" s="540"/>
      <c r="E135" s="555"/>
      <c r="F135" s="555"/>
      <c r="G135" s="631"/>
      <c r="H135" s="146">
        <v>623</v>
      </c>
      <c r="I135" s="532"/>
      <c r="J135" s="170"/>
      <c r="K135" s="145">
        <f t="shared" si="26"/>
        <v>0.35</v>
      </c>
      <c r="L135" s="550"/>
      <c r="M135" s="146">
        <f t="shared" si="27"/>
        <v>404.95000000000005</v>
      </c>
      <c r="N135" s="358">
        <f t="shared" si="28"/>
        <v>0</v>
      </c>
      <c r="O135" s="338" t="s">
        <v>885</v>
      </c>
      <c r="P135" s="336">
        <v>0.104</v>
      </c>
      <c r="Q135" s="367">
        <v>27</v>
      </c>
      <c r="R135" s="64"/>
      <c r="S135" s="57"/>
      <c r="T135" s="92"/>
      <c r="U135" s="57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</row>
    <row r="136" spans="1:44" s="66" customFormat="1" ht="15" customHeight="1">
      <c r="A136" s="530"/>
      <c r="B136" s="135" t="s">
        <v>1272</v>
      </c>
      <c r="C136" s="540"/>
      <c r="D136" s="540"/>
      <c r="E136" s="555"/>
      <c r="F136" s="555"/>
      <c r="G136" s="631"/>
      <c r="H136" s="146">
        <v>80</v>
      </c>
      <c r="I136" s="532"/>
      <c r="J136" s="170"/>
      <c r="K136" s="145">
        <f t="shared" si="26"/>
        <v>0.35</v>
      </c>
      <c r="L136" s="550"/>
      <c r="M136" s="146">
        <f t="shared" si="27"/>
        <v>52</v>
      </c>
      <c r="N136" s="358">
        <f t="shared" si="28"/>
        <v>0</v>
      </c>
      <c r="O136" s="338" t="s">
        <v>1245</v>
      </c>
      <c r="P136" s="336">
        <v>1.7999999999999999E-2</v>
      </c>
      <c r="Q136" s="367">
        <v>4.5</v>
      </c>
      <c r="R136" s="64"/>
      <c r="S136" s="57"/>
      <c r="T136" s="92"/>
      <c r="U136" s="57"/>
      <c r="V136" s="57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</row>
    <row r="137" spans="1:44" s="66" customFormat="1" ht="15" customHeight="1">
      <c r="A137" s="530" t="s">
        <v>1282</v>
      </c>
      <c r="B137" s="135" t="s">
        <v>1284</v>
      </c>
      <c r="C137" s="633" t="s">
        <v>1253</v>
      </c>
      <c r="D137" s="633" t="s">
        <v>1254</v>
      </c>
      <c r="E137" s="555" t="s">
        <v>89</v>
      </c>
      <c r="F137" s="555" t="s">
        <v>1255</v>
      </c>
      <c r="G137" s="631">
        <f>H137+H138+H139</f>
        <v>1472</v>
      </c>
      <c r="H137" s="146">
        <v>731</v>
      </c>
      <c r="I137" s="532">
        <v>99700</v>
      </c>
      <c r="J137" s="170"/>
      <c r="K137" s="145">
        <f t="shared" si="26"/>
        <v>0.35</v>
      </c>
      <c r="L137" s="550">
        <f>SUM(G137-(G137*K137))</f>
        <v>956.80000000000007</v>
      </c>
      <c r="M137" s="146">
        <f t="shared" si="27"/>
        <v>475.15</v>
      </c>
      <c r="N137" s="358">
        <f t="shared" si="28"/>
        <v>0</v>
      </c>
      <c r="O137" s="338" t="s">
        <v>339</v>
      </c>
      <c r="P137" s="336">
        <v>0.12</v>
      </c>
      <c r="Q137" s="367">
        <v>19</v>
      </c>
      <c r="R137" s="64"/>
      <c r="S137" s="57"/>
      <c r="T137" s="92"/>
      <c r="U137" s="57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</row>
    <row r="138" spans="1:44" s="66" customFormat="1" ht="15" customHeight="1">
      <c r="A138" s="530"/>
      <c r="B138" s="135" t="s">
        <v>1248</v>
      </c>
      <c r="C138" s="540"/>
      <c r="D138" s="540"/>
      <c r="E138" s="555"/>
      <c r="F138" s="555"/>
      <c r="G138" s="631"/>
      <c r="H138" s="146">
        <v>661</v>
      </c>
      <c r="I138" s="532"/>
      <c r="J138" s="170"/>
      <c r="K138" s="145">
        <f t="shared" si="26"/>
        <v>0.35</v>
      </c>
      <c r="L138" s="550"/>
      <c r="M138" s="146">
        <f t="shared" si="27"/>
        <v>429.65</v>
      </c>
      <c r="N138" s="358">
        <f t="shared" si="28"/>
        <v>0</v>
      </c>
      <c r="O138" s="338" t="s">
        <v>885</v>
      </c>
      <c r="P138" s="336">
        <v>0.104</v>
      </c>
      <c r="Q138" s="367">
        <v>29</v>
      </c>
      <c r="R138" s="64"/>
      <c r="S138" s="57"/>
      <c r="T138" s="92"/>
      <c r="U138" s="57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</row>
    <row r="139" spans="1:44" s="66" customFormat="1" ht="15" customHeight="1">
      <c r="A139" s="530"/>
      <c r="B139" s="135" t="s">
        <v>1272</v>
      </c>
      <c r="C139" s="540"/>
      <c r="D139" s="540"/>
      <c r="E139" s="555"/>
      <c r="F139" s="555"/>
      <c r="G139" s="631"/>
      <c r="H139" s="146">
        <v>80</v>
      </c>
      <c r="I139" s="532"/>
      <c r="J139" s="170"/>
      <c r="K139" s="145">
        <f t="shared" si="26"/>
        <v>0.35</v>
      </c>
      <c r="L139" s="550"/>
      <c r="M139" s="146">
        <f t="shared" si="27"/>
        <v>52</v>
      </c>
      <c r="N139" s="358">
        <f t="shared" si="28"/>
        <v>0</v>
      </c>
      <c r="O139" s="338" t="s">
        <v>1245</v>
      </c>
      <c r="P139" s="336">
        <v>1.7999999999999999E-2</v>
      </c>
      <c r="Q139" s="367">
        <v>4.5</v>
      </c>
      <c r="R139" s="64"/>
      <c r="S139" s="57"/>
      <c r="T139" s="92"/>
      <c r="U139" s="57"/>
      <c r="V139" s="57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</row>
    <row r="140" spans="1:44" s="66" customFormat="1" ht="15" customHeight="1">
      <c r="A140" s="530" t="s">
        <v>1283</v>
      </c>
      <c r="B140" s="135" t="s">
        <v>1285</v>
      </c>
      <c r="C140" s="633" t="s">
        <v>1256</v>
      </c>
      <c r="D140" s="633" t="s">
        <v>1257</v>
      </c>
      <c r="E140" s="555" t="s">
        <v>1258</v>
      </c>
      <c r="F140" s="555" t="s">
        <v>137</v>
      </c>
      <c r="G140" s="631">
        <f>H140+H141+H142</f>
        <v>1735</v>
      </c>
      <c r="H140" s="146">
        <v>916</v>
      </c>
      <c r="I140" s="532">
        <v>117500</v>
      </c>
      <c r="J140" s="170"/>
      <c r="K140" s="145">
        <f t="shared" si="26"/>
        <v>0.35</v>
      </c>
      <c r="L140" s="550">
        <f>SUM(G140-(G140*K140))</f>
        <v>1127.75</v>
      </c>
      <c r="M140" s="146">
        <f t="shared" si="27"/>
        <v>595.40000000000009</v>
      </c>
      <c r="N140" s="358">
        <f t="shared" si="28"/>
        <v>0</v>
      </c>
      <c r="O140" s="338" t="s">
        <v>339</v>
      </c>
      <c r="P140" s="336">
        <v>0.12</v>
      </c>
      <c r="Q140" s="367">
        <v>19</v>
      </c>
      <c r="R140" s="64"/>
      <c r="S140" s="57"/>
      <c r="T140" s="92"/>
      <c r="U140" s="57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</row>
    <row r="141" spans="1:44" s="66" customFormat="1" ht="15" customHeight="1">
      <c r="A141" s="530"/>
      <c r="B141" s="135" t="s">
        <v>1249</v>
      </c>
      <c r="C141" s="540"/>
      <c r="D141" s="540"/>
      <c r="E141" s="555"/>
      <c r="F141" s="555"/>
      <c r="G141" s="631"/>
      <c r="H141" s="146">
        <v>739</v>
      </c>
      <c r="I141" s="532"/>
      <c r="J141" s="170"/>
      <c r="K141" s="145">
        <f t="shared" si="26"/>
        <v>0.35</v>
      </c>
      <c r="L141" s="550"/>
      <c r="M141" s="146">
        <f t="shared" si="27"/>
        <v>480.35</v>
      </c>
      <c r="N141" s="358">
        <f t="shared" si="28"/>
        <v>0</v>
      </c>
      <c r="O141" s="338" t="s">
        <v>887</v>
      </c>
      <c r="P141" s="336">
        <v>0.125</v>
      </c>
      <c r="Q141" s="367">
        <v>36</v>
      </c>
      <c r="R141" s="64"/>
      <c r="S141" s="57"/>
      <c r="T141" s="92"/>
      <c r="U141" s="57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</row>
    <row r="142" spans="1:44" s="66" customFormat="1" ht="15" customHeight="1">
      <c r="A142" s="530"/>
      <c r="B142" s="135" t="s">
        <v>1272</v>
      </c>
      <c r="C142" s="540"/>
      <c r="D142" s="540"/>
      <c r="E142" s="555"/>
      <c r="F142" s="555"/>
      <c r="G142" s="631"/>
      <c r="H142" s="146">
        <v>80</v>
      </c>
      <c r="I142" s="532"/>
      <c r="J142" s="170"/>
      <c r="K142" s="145">
        <f t="shared" si="26"/>
        <v>0.35</v>
      </c>
      <c r="L142" s="550"/>
      <c r="M142" s="146">
        <f t="shared" si="27"/>
        <v>52</v>
      </c>
      <c r="N142" s="358">
        <f t="shared" si="28"/>
        <v>0</v>
      </c>
      <c r="O142" s="338" t="s">
        <v>1245</v>
      </c>
      <c r="P142" s="336">
        <v>1.7999999999999999E-2</v>
      </c>
      <c r="Q142" s="367">
        <v>4.5</v>
      </c>
      <c r="R142" s="64"/>
      <c r="S142" s="57"/>
      <c r="T142" s="92"/>
      <c r="U142" s="57"/>
      <c r="V142" s="57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</row>
    <row r="143" spans="1:44" s="66" customFormat="1" ht="15" customHeight="1">
      <c r="A143" s="530" t="s">
        <v>1157</v>
      </c>
      <c r="B143" s="135" t="s">
        <v>1286</v>
      </c>
      <c r="C143" s="633" t="s">
        <v>1212</v>
      </c>
      <c r="D143" s="633" t="s">
        <v>1213</v>
      </c>
      <c r="E143" s="555" t="s">
        <v>117</v>
      </c>
      <c r="F143" s="555" t="s">
        <v>257</v>
      </c>
      <c r="G143" s="631">
        <f>H143+H144+H145</f>
        <v>1880</v>
      </c>
      <c r="H143" s="146">
        <v>983</v>
      </c>
      <c r="I143" s="532">
        <v>127300</v>
      </c>
      <c r="J143" s="170"/>
      <c r="K143" s="145">
        <f t="shared" si="26"/>
        <v>0.35</v>
      </c>
      <c r="L143" s="550">
        <f>SUM(G143-(G143*K143))</f>
        <v>1222</v>
      </c>
      <c r="M143" s="146">
        <f t="shared" si="27"/>
        <v>638.95000000000005</v>
      </c>
      <c r="N143" s="358">
        <f t="shared" si="28"/>
        <v>0</v>
      </c>
      <c r="O143" s="338" t="s">
        <v>339</v>
      </c>
      <c r="P143" s="336">
        <v>0.12</v>
      </c>
      <c r="Q143" s="370">
        <v>19</v>
      </c>
      <c r="R143" s="64"/>
      <c r="S143" s="57"/>
      <c r="T143" s="92"/>
      <c r="U143" s="57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</row>
    <row r="144" spans="1:44" s="66" customFormat="1" ht="15" customHeight="1">
      <c r="A144" s="530"/>
      <c r="B144" s="135" t="s">
        <v>1202</v>
      </c>
      <c r="C144" s="540"/>
      <c r="D144" s="540"/>
      <c r="E144" s="555"/>
      <c r="F144" s="555"/>
      <c r="G144" s="631"/>
      <c r="H144" s="146">
        <v>817</v>
      </c>
      <c r="I144" s="532"/>
      <c r="J144" s="170"/>
      <c r="K144" s="145">
        <f t="shared" si="26"/>
        <v>0.35</v>
      </c>
      <c r="L144" s="550"/>
      <c r="M144" s="146">
        <f t="shared" si="27"/>
        <v>531.04999999999995</v>
      </c>
      <c r="N144" s="358">
        <f t="shared" si="28"/>
        <v>0</v>
      </c>
      <c r="O144" s="338" t="s">
        <v>887</v>
      </c>
      <c r="P144" s="336">
        <v>0.126</v>
      </c>
      <c r="Q144" s="370">
        <v>36</v>
      </c>
      <c r="R144" s="64"/>
      <c r="S144" s="57"/>
      <c r="T144" s="92"/>
      <c r="U144" s="57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</row>
    <row r="145" spans="1:57" s="66" customFormat="1" ht="15" customHeight="1">
      <c r="A145" s="530"/>
      <c r="B145" s="135" t="s">
        <v>1272</v>
      </c>
      <c r="C145" s="540"/>
      <c r="D145" s="540"/>
      <c r="E145" s="555"/>
      <c r="F145" s="555"/>
      <c r="G145" s="631"/>
      <c r="H145" s="146">
        <v>80</v>
      </c>
      <c r="I145" s="532"/>
      <c r="J145" s="170"/>
      <c r="K145" s="145">
        <f t="shared" si="26"/>
        <v>0.35</v>
      </c>
      <c r="L145" s="550"/>
      <c r="M145" s="146">
        <f t="shared" si="27"/>
        <v>52</v>
      </c>
      <c r="N145" s="358">
        <f t="shared" si="28"/>
        <v>0</v>
      </c>
      <c r="O145" s="338" t="s">
        <v>1245</v>
      </c>
      <c r="P145" s="336">
        <v>1.7999999999999999E-2</v>
      </c>
      <c r="Q145" s="367">
        <v>4.5</v>
      </c>
      <c r="R145" s="64"/>
      <c r="S145" s="57"/>
      <c r="T145" s="92"/>
      <c r="U145" s="57"/>
      <c r="V145" s="57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</row>
    <row r="146" spans="1:57" s="66" customFormat="1" ht="15" customHeight="1">
      <c r="A146" s="530" t="s">
        <v>1159</v>
      </c>
      <c r="B146" s="143" t="s">
        <v>1287</v>
      </c>
      <c r="C146" s="632" t="s">
        <v>1213</v>
      </c>
      <c r="D146" s="632" t="s">
        <v>1214</v>
      </c>
      <c r="E146" s="535" t="s">
        <v>117</v>
      </c>
      <c r="F146" s="535" t="s">
        <v>149</v>
      </c>
      <c r="G146" s="631">
        <f>H146+H147+H148</f>
        <v>2461</v>
      </c>
      <c r="H146" s="146">
        <v>1146</v>
      </c>
      <c r="I146" s="532">
        <v>166500</v>
      </c>
      <c r="J146" s="170"/>
      <c r="K146" s="145">
        <f t="shared" si="26"/>
        <v>0.35</v>
      </c>
      <c r="L146" s="550">
        <f>SUM(G146-(G146*K146))</f>
        <v>1599.65</v>
      </c>
      <c r="M146" s="146">
        <f t="shared" si="27"/>
        <v>744.90000000000009</v>
      </c>
      <c r="N146" s="358">
        <f t="shared" si="28"/>
        <v>0</v>
      </c>
      <c r="O146" s="338" t="s">
        <v>339</v>
      </c>
      <c r="P146" s="336">
        <v>0.12</v>
      </c>
      <c r="Q146" s="370">
        <v>20</v>
      </c>
      <c r="R146" s="64"/>
      <c r="S146" s="57"/>
      <c r="T146" s="92"/>
      <c r="U146" s="57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</row>
    <row r="147" spans="1:57" s="66" customFormat="1" ht="15" customHeight="1">
      <c r="A147" s="530"/>
      <c r="B147" s="143" t="s">
        <v>1203</v>
      </c>
      <c r="C147" s="543"/>
      <c r="D147" s="543"/>
      <c r="E147" s="535"/>
      <c r="F147" s="535"/>
      <c r="G147" s="631"/>
      <c r="H147" s="146">
        <v>1235</v>
      </c>
      <c r="I147" s="532"/>
      <c r="J147" s="170"/>
      <c r="K147" s="145">
        <f t="shared" si="26"/>
        <v>0.35</v>
      </c>
      <c r="L147" s="550"/>
      <c r="M147" s="146">
        <f t="shared" si="27"/>
        <v>802.75</v>
      </c>
      <c r="N147" s="358">
        <f t="shared" si="28"/>
        <v>0</v>
      </c>
      <c r="O147" s="338" t="s">
        <v>888</v>
      </c>
      <c r="P147" s="336">
        <v>0.249</v>
      </c>
      <c r="Q147" s="370">
        <v>40</v>
      </c>
      <c r="R147" s="64"/>
      <c r="S147" s="57"/>
      <c r="T147" s="92"/>
      <c r="U147" s="57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</row>
    <row r="148" spans="1:57" s="66" customFormat="1" ht="15" customHeight="1">
      <c r="A148" s="530"/>
      <c r="B148" s="135" t="s">
        <v>1272</v>
      </c>
      <c r="C148" s="543"/>
      <c r="D148" s="543"/>
      <c r="E148" s="535"/>
      <c r="F148" s="535"/>
      <c r="G148" s="631"/>
      <c r="H148" s="146">
        <v>80</v>
      </c>
      <c r="I148" s="532"/>
      <c r="J148" s="170"/>
      <c r="K148" s="145">
        <f t="shared" si="26"/>
        <v>0.35</v>
      </c>
      <c r="L148" s="550"/>
      <c r="M148" s="146">
        <f t="shared" si="27"/>
        <v>52</v>
      </c>
      <c r="N148" s="358">
        <f t="shared" si="28"/>
        <v>0</v>
      </c>
      <c r="O148" s="338" t="s">
        <v>1245</v>
      </c>
      <c r="P148" s="336">
        <v>1.7999999999999999E-2</v>
      </c>
      <c r="Q148" s="367">
        <v>4.5</v>
      </c>
      <c r="R148" s="64"/>
      <c r="S148" s="57"/>
      <c r="T148" s="92"/>
      <c r="U148" s="57"/>
      <c r="V148" s="57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</row>
    <row r="149" spans="1:57" s="66" customFormat="1" ht="15" customHeight="1">
      <c r="A149" s="530" t="s">
        <v>1162</v>
      </c>
      <c r="B149" s="143" t="s">
        <v>1288</v>
      </c>
      <c r="C149" s="632" t="s">
        <v>1217</v>
      </c>
      <c r="D149" s="632" t="s">
        <v>1218</v>
      </c>
      <c r="E149" s="535" t="s">
        <v>135</v>
      </c>
      <c r="F149" s="535" t="s">
        <v>116</v>
      </c>
      <c r="G149" s="631">
        <f>H149+H150+H151</f>
        <v>2625</v>
      </c>
      <c r="H149" s="146">
        <v>1310</v>
      </c>
      <c r="I149" s="532">
        <v>177600</v>
      </c>
      <c r="J149" s="170"/>
      <c r="K149" s="145">
        <f t="shared" si="26"/>
        <v>0.35</v>
      </c>
      <c r="L149" s="550">
        <f>SUM(G149-(G149*K149))</f>
        <v>1706.25</v>
      </c>
      <c r="M149" s="146">
        <f t="shared" si="27"/>
        <v>851.5</v>
      </c>
      <c r="N149" s="358">
        <f t="shared" si="28"/>
        <v>0</v>
      </c>
      <c r="O149" s="338" t="s">
        <v>339</v>
      </c>
      <c r="P149" s="336">
        <v>0.12</v>
      </c>
      <c r="Q149" s="370">
        <v>20</v>
      </c>
      <c r="R149" s="64"/>
      <c r="S149" s="57"/>
      <c r="T149" s="92"/>
      <c r="U149" s="57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</row>
    <row r="150" spans="1:57" s="66" customFormat="1" ht="15" customHeight="1">
      <c r="A150" s="530"/>
      <c r="B150" s="143" t="s">
        <v>1204</v>
      </c>
      <c r="C150" s="543"/>
      <c r="D150" s="543"/>
      <c r="E150" s="535"/>
      <c r="F150" s="535"/>
      <c r="G150" s="631"/>
      <c r="H150" s="146">
        <v>1235</v>
      </c>
      <c r="I150" s="532"/>
      <c r="J150" s="170"/>
      <c r="K150" s="145">
        <f t="shared" si="26"/>
        <v>0.35</v>
      </c>
      <c r="L150" s="550"/>
      <c r="M150" s="146">
        <f t="shared" si="27"/>
        <v>802.75</v>
      </c>
      <c r="N150" s="358">
        <f t="shared" si="28"/>
        <v>0</v>
      </c>
      <c r="O150" s="338" t="s">
        <v>888</v>
      </c>
      <c r="P150" s="336">
        <v>0.249</v>
      </c>
      <c r="Q150" s="370">
        <v>42</v>
      </c>
      <c r="R150" s="64"/>
      <c r="S150" s="57"/>
      <c r="T150" s="92"/>
      <c r="U150" s="57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</row>
    <row r="151" spans="1:57" s="66" customFormat="1" ht="15" customHeight="1">
      <c r="A151" s="530"/>
      <c r="B151" s="135" t="s">
        <v>1272</v>
      </c>
      <c r="C151" s="543"/>
      <c r="D151" s="543"/>
      <c r="E151" s="535"/>
      <c r="F151" s="535"/>
      <c r="G151" s="631"/>
      <c r="H151" s="146">
        <v>80</v>
      </c>
      <c r="I151" s="532"/>
      <c r="J151" s="170"/>
      <c r="K151" s="145">
        <f t="shared" si="26"/>
        <v>0.35</v>
      </c>
      <c r="L151" s="550"/>
      <c r="M151" s="146">
        <f t="shared" si="27"/>
        <v>52</v>
      </c>
      <c r="N151" s="358">
        <f t="shared" si="28"/>
        <v>0</v>
      </c>
      <c r="O151" s="338" t="s">
        <v>1245</v>
      </c>
      <c r="P151" s="336">
        <v>1.7999999999999999E-2</v>
      </c>
      <c r="Q151" s="367">
        <v>4.5</v>
      </c>
      <c r="R151" s="64"/>
      <c r="S151" s="57"/>
      <c r="T151" s="92"/>
      <c r="U151" s="57"/>
      <c r="V151" s="57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</row>
    <row r="152" spans="1:57" ht="44.25" customHeight="1">
      <c r="A152" s="652" t="s">
        <v>1007</v>
      </c>
      <c r="B152" s="653"/>
      <c r="C152" s="653"/>
      <c r="D152" s="653"/>
      <c r="E152" s="653"/>
      <c r="F152" s="653"/>
      <c r="G152" s="653"/>
      <c r="H152" s="653"/>
      <c r="I152" s="653"/>
      <c r="J152" s="653"/>
      <c r="K152" s="653"/>
      <c r="L152" s="653"/>
      <c r="M152" s="653"/>
      <c r="N152" s="149"/>
      <c r="O152" s="150"/>
      <c r="P152" s="150"/>
      <c r="Q152" s="399"/>
      <c r="T152" s="92"/>
    </row>
    <row r="153" spans="1:57" ht="36.75" customHeight="1">
      <c r="A153" s="537" t="s">
        <v>160</v>
      </c>
      <c r="B153" s="538"/>
      <c r="C153" s="538"/>
      <c r="D153" s="538"/>
      <c r="E153" s="538"/>
      <c r="F153" s="538"/>
      <c r="G153" s="538"/>
      <c r="H153" s="538"/>
      <c r="I153" s="538"/>
      <c r="J153" s="538"/>
      <c r="K153" s="538"/>
      <c r="L153" s="538"/>
      <c r="M153" s="538"/>
      <c r="N153" s="538"/>
      <c r="O153" s="538"/>
      <c r="P153" s="538"/>
      <c r="Q153" s="539"/>
      <c r="T153" s="92"/>
    </row>
    <row r="154" spans="1:57" s="66" customFormat="1" ht="15" customHeight="1">
      <c r="A154" s="530" t="s">
        <v>273</v>
      </c>
      <c r="B154" s="135" t="s">
        <v>283</v>
      </c>
      <c r="C154" s="543" t="s">
        <v>990</v>
      </c>
      <c r="D154" s="543" t="s">
        <v>991</v>
      </c>
      <c r="E154" s="535" t="s">
        <v>89</v>
      </c>
      <c r="F154" s="535" t="s">
        <v>116</v>
      </c>
      <c r="G154" s="631">
        <f>H154+H155+H156</f>
        <v>3739</v>
      </c>
      <c r="H154" s="351">
        <v>1988</v>
      </c>
      <c r="I154" s="532">
        <v>252900</v>
      </c>
      <c r="J154" s="170"/>
      <c r="K154" s="145">
        <f t="shared" ref="K154:K174" si="29">$E$3</f>
        <v>0.35</v>
      </c>
      <c r="L154" s="550">
        <f>SUM(G154-(G154*K154))</f>
        <v>2430.3500000000004</v>
      </c>
      <c r="M154" s="351">
        <f t="shared" ref="M154:M174" si="30">SUM(H154-(H154*K154))</f>
        <v>1292.2</v>
      </c>
      <c r="N154" s="358">
        <f t="shared" ref="N154:N174" si="31">J154*M154</f>
        <v>0</v>
      </c>
      <c r="O154" s="338" t="s">
        <v>341</v>
      </c>
      <c r="P154" s="336">
        <v>0.34</v>
      </c>
      <c r="Q154" s="370">
        <v>32</v>
      </c>
      <c r="R154" s="64"/>
      <c r="S154" s="57"/>
      <c r="T154" s="92"/>
      <c r="U154" s="57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</row>
    <row r="155" spans="1:57" ht="15" customHeight="1">
      <c r="A155" s="530"/>
      <c r="B155" s="135" t="s">
        <v>285</v>
      </c>
      <c r="C155" s="543"/>
      <c r="D155" s="543"/>
      <c r="E155" s="535"/>
      <c r="F155" s="535"/>
      <c r="G155" s="631"/>
      <c r="H155" s="351">
        <v>1668</v>
      </c>
      <c r="I155" s="532"/>
      <c r="J155" s="170"/>
      <c r="K155" s="145">
        <f t="shared" si="29"/>
        <v>0.35</v>
      </c>
      <c r="L155" s="550"/>
      <c r="M155" s="351">
        <f t="shared" si="30"/>
        <v>1084.2</v>
      </c>
      <c r="N155" s="358">
        <f t="shared" si="31"/>
        <v>0</v>
      </c>
      <c r="O155" s="338" t="s">
        <v>320</v>
      </c>
      <c r="P155" s="336">
        <v>0.45300000000000001</v>
      </c>
      <c r="Q155" s="370">
        <v>68</v>
      </c>
      <c r="T155" s="92"/>
    </row>
    <row r="156" spans="1:57" ht="15" customHeight="1">
      <c r="A156" s="530"/>
      <c r="B156" s="135" t="s">
        <v>1273</v>
      </c>
      <c r="C156" s="543"/>
      <c r="D156" s="543"/>
      <c r="E156" s="535"/>
      <c r="F156" s="535"/>
      <c r="G156" s="631"/>
      <c r="H156" s="351">
        <v>83</v>
      </c>
      <c r="I156" s="532"/>
      <c r="J156" s="170"/>
      <c r="K156" s="145">
        <f t="shared" si="29"/>
        <v>0.35</v>
      </c>
      <c r="L156" s="550"/>
      <c r="M156" s="351">
        <f t="shared" si="30"/>
        <v>53.95</v>
      </c>
      <c r="N156" s="358">
        <f t="shared" si="31"/>
        <v>0</v>
      </c>
      <c r="O156" s="338" t="s">
        <v>342</v>
      </c>
      <c r="P156" s="336">
        <v>0.11700000000000001</v>
      </c>
      <c r="Q156" s="370">
        <v>8.5</v>
      </c>
      <c r="T156" s="92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</row>
    <row r="157" spans="1:57" s="68" customFormat="1" ht="15" customHeight="1">
      <c r="A157" s="530" t="s">
        <v>274</v>
      </c>
      <c r="B157" s="135" t="s">
        <v>284</v>
      </c>
      <c r="C157" s="543" t="s">
        <v>1008</v>
      </c>
      <c r="D157" s="543" t="s">
        <v>1009</v>
      </c>
      <c r="E157" s="535" t="s">
        <v>89</v>
      </c>
      <c r="F157" s="535" t="s">
        <v>133</v>
      </c>
      <c r="G157" s="631">
        <f>H157+H158+H159</f>
        <v>4273</v>
      </c>
      <c r="H157" s="351">
        <v>2162</v>
      </c>
      <c r="I157" s="532">
        <v>289000</v>
      </c>
      <c r="J157" s="170"/>
      <c r="K157" s="145">
        <f t="shared" si="29"/>
        <v>0.35</v>
      </c>
      <c r="L157" s="550">
        <f>SUM(G157-(G157*K157))</f>
        <v>2777.45</v>
      </c>
      <c r="M157" s="351">
        <f t="shared" si="30"/>
        <v>1405.3000000000002</v>
      </c>
      <c r="N157" s="358">
        <f t="shared" si="31"/>
        <v>0</v>
      </c>
      <c r="O157" s="338" t="s">
        <v>341</v>
      </c>
      <c r="P157" s="336">
        <v>0.34</v>
      </c>
      <c r="Q157" s="370">
        <v>32</v>
      </c>
      <c r="R157" s="64"/>
      <c r="S157" s="57"/>
      <c r="T157" s="92"/>
      <c r="U157" s="57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</row>
    <row r="158" spans="1:57" s="68" customFormat="1" ht="15" customHeight="1">
      <c r="A158" s="530"/>
      <c r="B158" s="135" t="s">
        <v>286</v>
      </c>
      <c r="C158" s="543"/>
      <c r="D158" s="543"/>
      <c r="E158" s="535"/>
      <c r="F158" s="535"/>
      <c r="G158" s="631"/>
      <c r="H158" s="351">
        <v>2028</v>
      </c>
      <c r="I158" s="532"/>
      <c r="J158" s="170"/>
      <c r="K158" s="145">
        <f t="shared" si="29"/>
        <v>0.35</v>
      </c>
      <c r="L158" s="550"/>
      <c r="M158" s="351">
        <f t="shared" si="30"/>
        <v>1318.2</v>
      </c>
      <c r="N158" s="358">
        <f t="shared" si="31"/>
        <v>0</v>
      </c>
      <c r="O158" s="338" t="s">
        <v>320</v>
      </c>
      <c r="P158" s="336">
        <v>0.45300000000000001</v>
      </c>
      <c r="Q158" s="370">
        <v>68</v>
      </c>
      <c r="R158" s="64"/>
      <c r="S158" s="57"/>
      <c r="T158" s="92"/>
      <c r="U158" s="57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</row>
    <row r="159" spans="1:57" s="69" customFormat="1" ht="15" customHeight="1">
      <c r="A159" s="530"/>
      <c r="B159" s="135" t="s">
        <v>1273</v>
      </c>
      <c r="C159" s="543"/>
      <c r="D159" s="543"/>
      <c r="E159" s="535"/>
      <c r="F159" s="535"/>
      <c r="G159" s="631"/>
      <c r="H159" s="351">
        <v>83</v>
      </c>
      <c r="I159" s="532"/>
      <c r="J159" s="170"/>
      <c r="K159" s="145">
        <f t="shared" si="29"/>
        <v>0.35</v>
      </c>
      <c r="L159" s="550"/>
      <c r="M159" s="351">
        <f t="shared" si="30"/>
        <v>53.95</v>
      </c>
      <c r="N159" s="358">
        <f t="shared" si="31"/>
        <v>0</v>
      </c>
      <c r="O159" s="338" t="s">
        <v>342</v>
      </c>
      <c r="P159" s="336">
        <v>0.11700000000000001</v>
      </c>
      <c r="Q159" s="370">
        <v>8.5</v>
      </c>
      <c r="R159" s="57"/>
      <c r="S159" s="57"/>
      <c r="T159" s="92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</row>
    <row r="160" spans="1:57" ht="15" customHeight="1">
      <c r="A160" s="530" t="s">
        <v>484</v>
      </c>
      <c r="B160" s="135" t="s">
        <v>183</v>
      </c>
      <c r="C160" s="543" t="s">
        <v>1010</v>
      </c>
      <c r="D160" s="543" t="s">
        <v>1011</v>
      </c>
      <c r="E160" s="535" t="s">
        <v>204</v>
      </c>
      <c r="F160" s="535" t="s">
        <v>112</v>
      </c>
      <c r="G160" s="631">
        <f>H160+H161+H162</f>
        <v>4521</v>
      </c>
      <c r="H160" s="350">
        <v>2162</v>
      </c>
      <c r="I160" s="532">
        <v>305800</v>
      </c>
      <c r="J160" s="170"/>
      <c r="K160" s="145">
        <f t="shared" si="29"/>
        <v>0.35</v>
      </c>
      <c r="L160" s="550">
        <f>SUM(G160-(G160*K160))</f>
        <v>2938.65</v>
      </c>
      <c r="M160" s="350">
        <f t="shared" si="30"/>
        <v>1405.3000000000002</v>
      </c>
      <c r="N160" s="358">
        <f t="shared" si="31"/>
        <v>0</v>
      </c>
      <c r="O160" s="338" t="s">
        <v>341</v>
      </c>
      <c r="P160" s="336">
        <v>0.34</v>
      </c>
      <c r="Q160" s="370">
        <v>31</v>
      </c>
      <c r="T160" s="92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</row>
    <row r="161" spans="1:57" ht="15" customHeight="1">
      <c r="A161" s="530"/>
      <c r="B161" s="135" t="s">
        <v>184</v>
      </c>
      <c r="C161" s="543"/>
      <c r="D161" s="543"/>
      <c r="E161" s="535"/>
      <c r="F161" s="535"/>
      <c r="G161" s="631"/>
      <c r="H161" s="350">
        <v>2276</v>
      </c>
      <c r="I161" s="532"/>
      <c r="J161" s="170"/>
      <c r="K161" s="145">
        <f t="shared" si="29"/>
        <v>0.35</v>
      </c>
      <c r="L161" s="550"/>
      <c r="M161" s="350">
        <f t="shared" si="30"/>
        <v>1479.4</v>
      </c>
      <c r="N161" s="358">
        <f t="shared" si="31"/>
        <v>0</v>
      </c>
      <c r="O161" s="338" t="s">
        <v>334</v>
      </c>
      <c r="P161" s="336">
        <v>0.66900000000000004</v>
      </c>
      <c r="Q161" s="370">
        <v>113</v>
      </c>
      <c r="T161" s="92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</row>
    <row r="162" spans="1:57" ht="15" customHeight="1">
      <c r="A162" s="530"/>
      <c r="B162" s="135" t="s">
        <v>1273</v>
      </c>
      <c r="C162" s="543"/>
      <c r="D162" s="543"/>
      <c r="E162" s="535"/>
      <c r="F162" s="535"/>
      <c r="G162" s="631"/>
      <c r="H162" s="350">
        <v>83</v>
      </c>
      <c r="I162" s="532"/>
      <c r="J162" s="170"/>
      <c r="K162" s="145">
        <f t="shared" si="29"/>
        <v>0.35</v>
      </c>
      <c r="L162" s="550"/>
      <c r="M162" s="350">
        <f t="shared" si="30"/>
        <v>53.95</v>
      </c>
      <c r="N162" s="358">
        <f t="shared" si="31"/>
        <v>0</v>
      </c>
      <c r="O162" s="338" t="s">
        <v>342</v>
      </c>
      <c r="P162" s="336">
        <v>0.11700000000000001</v>
      </c>
      <c r="Q162" s="370">
        <v>8.5</v>
      </c>
      <c r="T162" s="92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</row>
    <row r="163" spans="1:57" s="66" customFormat="1" ht="15" customHeight="1">
      <c r="A163" s="530" t="s">
        <v>275</v>
      </c>
      <c r="B163" s="135" t="s">
        <v>287</v>
      </c>
      <c r="C163" s="543" t="s">
        <v>994</v>
      </c>
      <c r="D163" s="543" t="s">
        <v>995</v>
      </c>
      <c r="E163" s="535" t="s">
        <v>89</v>
      </c>
      <c r="F163" s="535" t="s">
        <v>133</v>
      </c>
      <c r="G163" s="631">
        <f>H163+H164+H165</f>
        <v>4756</v>
      </c>
      <c r="H163" s="351">
        <v>2122</v>
      </c>
      <c r="I163" s="532">
        <v>321700</v>
      </c>
      <c r="J163" s="170"/>
      <c r="K163" s="145">
        <f t="shared" si="29"/>
        <v>0.35</v>
      </c>
      <c r="L163" s="550">
        <f>SUM(G163-(G163*K163))</f>
        <v>3091.4</v>
      </c>
      <c r="M163" s="351">
        <f t="shared" si="30"/>
        <v>1379.3000000000002</v>
      </c>
      <c r="N163" s="358">
        <f t="shared" si="31"/>
        <v>0</v>
      </c>
      <c r="O163" s="338" t="s">
        <v>341</v>
      </c>
      <c r="P163" s="336">
        <v>0.34</v>
      </c>
      <c r="Q163" s="370">
        <v>33</v>
      </c>
      <c r="R163" s="64"/>
      <c r="S163" s="57"/>
      <c r="T163" s="92"/>
      <c r="U163" s="57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</row>
    <row r="164" spans="1:57" s="66" customFormat="1" ht="15" customHeight="1">
      <c r="A164" s="530"/>
      <c r="B164" s="135" t="s">
        <v>288</v>
      </c>
      <c r="C164" s="543"/>
      <c r="D164" s="543"/>
      <c r="E164" s="535"/>
      <c r="F164" s="535"/>
      <c r="G164" s="631"/>
      <c r="H164" s="351">
        <v>2551</v>
      </c>
      <c r="I164" s="532"/>
      <c r="J164" s="170"/>
      <c r="K164" s="145">
        <f t="shared" si="29"/>
        <v>0.35</v>
      </c>
      <c r="L164" s="550"/>
      <c r="M164" s="351">
        <f t="shared" si="30"/>
        <v>1658.15</v>
      </c>
      <c r="N164" s="358">
        <f t="shared" si="31"/>
        <v>0</v>
      </c>
      <c r="O164" s="338" t="s">
        <v>343</v>
      </c>
      <c r="P164" s="336">
        <v>0.66900000000000004</v>
      </c>
      <c r="Q164" s="370">
        <v>94</v>
      </c>
      <c r="R164" s="64"/>
      <c r="S164" s="57"/>
      <c r="T164" s="92"/>
      <c r="U164" s="57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</row>
    <row r="165" spans="1:57" ht="15" customHeight="1">
      <c r="A165" s="530"/>
      <c r="B165" s="135" t="s">
        <v>1273</v>
      </c>
      <c r="C165" s="543"/>
      <c r="D165" s="543"/>
      <c r="E165" s="535"/>
      <c r="F165" s="535"/>
      <c r="G165" s="631"/>
      <c r="H165" s="351">
        <v>83</v>
      </c>
      <c r="I165" s="532"/>
      <c r="J165" s="170"/>
      <c r="K165" s="145">
        <f t="shared" si="29"/>
        <v>0.35</v>
      </c>
      <c r="L165" s="550"/>
      <c r="M165" s="351">
        <f t="shared" si="30"/>
        <v>53.95</v>
      </c>
      <c r="N165" s="358">
        <f t="shared" si="31"/>
        <v>0</v>
      </c>
      <c r="O165" s="338" t="s">
        <v>342</v>
      </c>
      <c r="P165" s="336">
        <v>0.11700000000000001</v>
      </c>
      <c r="Q165" s="370">
        <v>8.5</v>
      </c>
      <c r="T165" s="92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</row>
    <row r="166" spans="1:57" s="66" customFormat="1" ht="15" customHeight="1">
      <c r="A166" s="530" t="s">
        <v>276</v>
      </c>
      <c r="B166" s="135" t="s">
        <v>287</v>
      </c>
      <c r="C166" s="632" t="s">
        <v>1012</v>
      </c>
      <c r="D166" s="632" t="s">
        <v>1013</v>
      </c>
      <c r="E166" s="535" t="s">
        <v>265</v>
      </c>
      <c r="F166" s="535" t="s">
        <v>94</v>
      </c>
      <c r="G166" s="631">
        <f>H166+H167+H168</f>
        <v>4965</v>
      </c>
      <c r="H166" s="350">
        <v>2122</v>
      </c>
      <c r="I166" s="532">
        <v>335800</v>
      </c>
      <c r="J166" s="170"/>
      <c r="K166" s="145">
        <f t="shared" si="29"/>
        <v>0.35</v>
      </c>
      <c r="L166" s="550">
        <f>SUM(G166-(G166*K166))</f>
        <v>3227.25</v>
      </c>
      <c r="M166" s="350">
        <f t="shared" si="30"/>
        <v>1379.3000000000002</v>
      </c>
      <c r="N166" s="358">
        <f t="shared" si="31"/>
        <v>0</v>
      </c>
      <c r="O166" s="338" t="s">
        <v>341</v>
      </c>
      <c r="P166" s="336">
        <v>0.34</v>
      </c>
      <c r="Q166" s="370">
        <v>33</v>
      </c>
      <c r="R166" s="64"/>
      <c r="S166" s="57"/>
      <c r="T166" s="92"/>
      <c r="U166" s="57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</row>
    <row r="167" spans="1:57" s="66" customFormat="1" ht="15" customHeight="1">
      <c r="A167" s="530"/>
      <c r="B167" s="135" t="s">
        <v>185</v>
      </c>
      <c r="C167" s="543"/>
      <c r="D167" s="543"/>
      <c r="E167" s="535"/>
      <c r="F167" s="535"/>
      <c r="G167" s="631"/>
      <c r="H167" s="350">
        <v>2760</v>
      </c>
      <c r="I167" s="532"/>
      <c r="J167" s="170"/>
      <c r="K167" s="145">
        <f t="shared" si="29"/>
        <v>0.35</v>
      </c>
      <c r="L167" s="550"/>
      <c r="M167" s="350">
        <f t="shared" si="30"/>
        <v>1794</v>
      </c>
      <c r="N167" s="358">
        <f t="shared" si="31"/>
        <v>0</v>
      </c>
      <c r="O167" s="338" t="s">
        <v>343</v>
      </c>
      <c r="P167" s="336">
        <v>0.66900000000000004</v>
      </c>
      <c r="Q167" s="370">
        <v>113</v>
      </c>
      <c r="R167" s="64"/>
      <c r="S167" s="57"/>
      <c r="T167" s="92"/>
      <c r="U167" s="57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</row>
    <row r="168" spans="1:57" ht="15" customHeight="1">
      <c r="A168" s="530"/>
      <c r="B168" s="135" t="s">
        <v>1273</v>
      </c>
      <c r="C168" s="543"/>
      <c r="D168" s="543"/>
      <c r="E168" s="535"/>
      <c r="F168" s="535"/>
      <c r="G168" s="631"/>
      <c r="H168" s="350">
        <v>83</v>
      </c>
      <c r="I168" s="532"/>
      <c r="J168" s="170"/>
      <c r="K168" s="145">
        <f t="shared" si="29"/>
        <v>0.35</v>
      </c>
      <c r="L168" s="550"/>
      <c r="M168" s="350">
        <f t="shared" si="30"/>
        <v>53.95</v>
      </c>
      <c r="N168" s="358">
        <f t="shared" si="31"/>
        <v>0</v>
      </c>
      <c r="O168" s="338" t="s">
        <v>342</v>
      </c>
      <c r="P168" s="336">
        <v>0.11700000000000001</v>
      </c>
      <c r="Q168" s="370">
        <v>8.5</v>
      </c>
      <c r="T168" s="92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</row>
    <row r="169" spans="1:57" s="66" customFormat="1" ht="15" customHeight="1">
      <c r="A169" s="530" t="s">
        <v>277</v>
      </c>
      <c r="B169" s="135" t="s">
        <v>194</v>
      </c>
      <c r="C169" s="543" t="s">
        <v>996</v>
      </c>
      <c r="D169" s="543" t="s">
        <v>997</v>
      </c>
      <c r="E169" s="535" t="s">
        <v>135</v>
      </c>
      <c r="F169" s="535" t="s">
        <v>136</v>
      </c>
      <c r="G169" s="631">
        <f>H169+H170+H171</f>
        <v>5347</v>
      </c>
      <c r="H169" s="351">
        <v>2423</v>
      </c>
      <c r="I169" s="532">
        <v>361600</v>
      </c>
      <c r="J169" s="170"/>
      <c r="K169" s="145">
        <f t="shared" si="29"/>
        <v>0.35</v>
      </c>
      <c r="L169" s="550">
        <f>SUM(G169-(G169*K169))</f>
        <v>3475.55</v>
      </c>
      <c r="M169" s="351">
        <f t="shared" si="30"/>
        <v>1574.95</v>
      </c>
      <c r="N169" s="358">
        <f t="shared" si="31"/>
        <v>0</v>
      </c>
      <c r="O169" s="338" t="s">
        <v>341</v>
      </c>
      <c r="P169" s="336">
        <v>0.47099999999999997</v>
      </c>
      <c r="Q169" s="370">
        <v>33</v>
      </c>
      <c r="R169" s="64"/>
      <c r="S169" s="57"/>
      <c r="T169" s="92"/>
      <c r="U169" s="57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</row>
    <row r="170" spans="1:57" s="66" customFormat="1" ht="15" customHeight="1">
      <c r="A170" s="530"/>
      <c r="B170" s="135" t="s">
        <v>565</v>
      </c>
      <c r="C170" s="543"/>
      <c r="D170" s="543"/>
      <c r="E170" s="535"/>
      <c r="F170" s="535"/>
      <c r="G170" s="631"/>
      <c r="H170" s="351">
        <v>2841</v>
      </c>
      <c r="I170" s="532"/>
      <c r="J170" s="170"/>
      <c r="K170" s="145">
        <f t="shared" si="29"/>
        <v>0.35</v>
      </c>
      <c r="L170" s="550"/>
      <c r="M170" s="351">
        <f t="shared" si="30"/>
        <v>1846.65</v>
      </c>
      <c r="N170" s="358">
        <f t="shared" si="31"/>
        <v>0</v>
      </c>
      <c r="O170" s="338" t="s">
        <v>343</v>
      </c>
      <c r="P170" s="336">
        <v>0.66900000000000004</v>
      </c>
      <c r="Q170" s="370">
        <v>94</v>
      </c>
      <c r="R170" s="64"/>
      <c r="S170" s="57"/>
      <c r="T170" s="92"/>
      <c r="U170" s="57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</row>
    <row r="171" spans="1:57" s="66" customFormat="1" ht="15" customHeight="1">
      <c r="A171" s="530"/>
      <c r="B171" s="135" t="s">
        <v>1273</v>
      </c>
      <c r="C171" s="543"/>
      <c r="D171" s="543"/>
      <c r="E171" s="535"/>
      <c r="F171" s="535"/>
      <c r="G171" s="631"/>
      <c r="H171" s="351">
        <v>83</v>
      </c>
      <c r="I171" s="532"/>
      <c r="J171" s="170"/>
      <c r="K171" s="145">
        <f t="shared" si="29"/>
        <v>0.35</v>
      </c>
      <c r="L171" s="550"/>
      <c r="M171" s="351">
        <f t="shared" si="30"/>
        <v>53.95</v>
      </c>
      <c r="N171" s="358">
        <f t="shared" si="31"/>
        <v>0</v>
      </c>
      <c r="O171" s="338" t="s">
        <v>342</v>
      </c>
      <c r="P171" s="336">
        <v>0.11700000000000001</v>
      </c>
      <c r="Q171" s="370">
        <v>8.5</v>
      </c>
      <c r="R171" s="64"/>
      <c r="S171" s="57"/>
      <c r="T171" s="92"/>
      <c r="U171" s="57"/>
      <c r="V171" s="57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</row>
    <row r="172" spans="1:57" ht="15" customHeight="1">
      <c r="A172" s="530" t="s">
        <v>485</v>
      </c>
      <c r="B172" s="135" t="s">
        <v>194</v>
      </c>
      <c r="C172" s="540" t="s">
        <v>1014</v>
      </c>
      <c r="D172" s="633" t="s">
        <v>1015</v>
      </c>
      <c r="E172" s="555" t="s">
        <v>89</v>
      </c>
      <c r="F172" s="555" t="s">
        <v>116</v>
      </c>
      <c r="G172" s="631">
        <f>H172+H173+H174</f>
        <v>5606</v>
      </c>
      <c r="H172" s="350">
        <v>2423</v>
      </c>
      <c r="I172" s="532">
        <v>379100</v>
      </c>
      <c r="J172" s="170"/>
      <c r="K172" s="145">
        <f t="shared" si="29"/>
        <v>0.35</v>
      </c>
      <c r="L172" s="550">
        <f>SUM(G172-(G172*K172))</f>
        <v>3643.9</v>
      </c>
      <c r="M172" s="350">
        <f t="shared" si="30"/>
        <v>1574.95</v>
      </c>
      <c r="N172" s="358">
        <f t="shared" si="31"/>
        <v>0</v>
      </c>
      <c r="O172" s="338" t="s">
        <v>341</v>
      </c>
      <c r="P172" s="336">
        <v>0.47099999999999997</v>
      </c>
      <c r="Q172" s="370">
        <v>33</v>
      </c>
      <c r="T172" s="92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</row>
    <row r="173" spans="1:57" ht="15" customHeight="1">
      <c r="A173" s="530"/>
      <c r="B173" s="135" t="s">
        <v>189</v>
      </c>
      <c r="C173" s="540"/>
      <c r="D173" s="540"/>
      <c r="E173" s="555"/>
      <c r="F173" s="555"/>
      <c r="G173" s="631"/>
      <c r="H173" s="350">
        <v>3100</v>
      </c>
      <c r="I173" s="532"/>
      <c r="J173" s="170"/>
      <c r="K173" s="145">
        <f t="shared" si="29"/>
        <v>0.35</v>
      </c>
      <c r="L173" s="550"/>
      <c r="M173" s="350">
        <f t="shared" si="30"/>
        <v>2015</v>
      </c>
      <c r="N173" s="358">
        <f t="shared" si="31"/>
        <v>0</v>
      </c>
      <c r="O173" s="338" t="s">
        <v>343</v>
      </c>
      <c r="P173" s="336">
        <v>0.66900000000000004</v>
      </c>
      <c r="Q173" s="370">
        <v>117</v>
      </c>
      <c r="T173" s="92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</row>
    <row r="174" spans="1:57" ht="15" customHeight="1">
      <c r="A174" s="530"/>
      <c r="B174" s="135" t="s">
        <v>1273</v>
      </c>
      <c r="C174" s="540"/>
      <c r="D174" s="540"/>
      <c r="E174" s="555"/>
      <c r="F174" s="555"/>
      <c r="G174" s="631"/>
      <c r="H174" s="350">
        <v>83</v>
      </c>
      <c r="I174" s="532"/>
      <c r="J174" s="170"/>
      <c r="K174" s="145">
        <f t="shared" si="29"/>
        <v>0.35</v>
      </c>
      <c r="L174" s="550"/>
      <c r="M174" s="350">
        <f t="shared" si="30"/>
        <v>53.95</v>
      </c>
      <c r="N174" s="358">
        <f t="shared" si="31"/>
        <v>0</v>
      </c>
      <c r="O174" s="338" t="s">
        <v>342</v>
      </c>
      <c r="P174" s="336">
        <v>0.11700000000000001</v>
      </c>
      <c r="Q174" s="370">
        <v>8.5</v>
      </c>
      <c r="T174" s="92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</row>
    <row r="175" spans="1:57" ht="30" customHeight="1">
      <c r="A175" s="652" t="s">
        <v>51</v>
      </c>
      <c r="B175" s="653"/>
      <c r="C175" s="653"/>
      <c r="D175" s="653"/>
      <c r="E175" s="653"/>
      <c r="F175" s="653"/>
      <c r="G175" s="653"/>
      <c r="H175" s="653"/>
      <c r="I175" s="653"/>
      <c r="J175" s="653"/>
      <c r="K175" s="653"/>
      <c r="L175" s="653"/>
      <c r="M175" s="653"/>
      <c r="N175" s="149"/>
      <c r="O175" s="150"/>
      <c r="P175" s="150"/>
      <c r="Q175" s="399"/>
      <c r="T175" s="92"/>
    </row>
    <row r="176" spans="1:57" ht="69.75" customHeight="1">
      <c r="A176" s="400"/>
      <c r="B176" s="575" t="s">
        <v>365</v>
      </c>
      <c r="C176" s="575"/>
      <c r="D176" s="575"/>
      <c r="E176" s="551" t="s">
        <v>364</v>
      </c>
      <c r="F176" s="551"/>
      <c r="G176" s="551"/>
      <c r="H176" s="172" t="s">
        <v>494</v>
      </c>
      <c r="I176" s="342" t="s">
        <v>740</v>
      </c>
      <c r="J176" s="341" t="s">
        <v>28</v>
      </c>
      <c r="K176" s="341" t="s">
        <v>22</v>
      </c>
      <c r="L176" s="173" t="s">
        <v>490</v>
      </c>
      <c r="M176" s="159"/>
      <c r="N176" s="173" t="s">
        <v>27</v>
      </c>
      <c r="O176" s="551" t="s">
        <v>23</v>
      </c>
      <c r="P176" s="551"/>
      <c r="Q176" s="379" t="s">
        <v>24</v>
      </c>
      <c r="T176" s="92"/>
    </row>
    <row r="177" spans="1:62" ht="84.75" customHeight="1">
      <c r="A177" s="380" t="s">
        <v>1130</v>
      </c>
      <c r="B177" s="547" t="s">
        <v>451</v>
      </c>
      <c r="C177" s="547"/>
      <c r="D177" s="547"/>
      <c r="E177" s="547" t="s">
        <v>450</v>
      </c>
      <c r="F177" s="547"/>
      <c r="G177" s="547"/>
      <c r="H177" s="354">
        <v>221</v>
      </c>
      <c r="I177" s="222">
        <v>14400</v>
      </c>
      <c r="J177" s="160"/>
      <c r="K177" s="145">
        <f t="shared" ref="K177:K205" si="32">$E$3</f>
        <v>0.35</v>
      </c>
      <c r="L177" s="340">
        <f t="shared" ref="L177:L205" si="33">SUM(H177-(H177*K177))</f>
        <v>143.65</v>
      </c>
      <c r="M177" s="161"/>
      <c r="N177" s="331">
        <f>J177*L177</f>
        <v>0</v>
      </c>
      <c r="O177" s="546">
        <v>4.0000000000000001E-3</v>
      </c>
      <c r="P177" s="546"/>
      <c r="Q177" s="367">
        <v>2</v>
      </c>
      <c r="T177" s="92"/>
    </row>
    <row r="178" spans="1:62" ht="77.25" customHeight="1">
      <c r="A178" s="380" t="s">
        <v>1131</v>
      </c>
      <c r="B178" s="547" t="s">
        <v>489</v>
      </c>
      <c r="C178" s="547"/>
      <c r="D178" s="547"/>
      <c r="E178" s="547" t="s">
        <v>450</v>
      </c>
      <c r="F178" s="547"/>
      <c r="G178" s="547"/>
      <c r="H178" s="354">
        <v>169</v>
      </c>
      <c r="I178" s="222">
        <v>11000</v>
      </c>
      <c r="J178" s="160"/>
      <c r="K178" s="145">
        <f t="shared" si="32"/>
        <v>0.35</v>
      </c>
      <c r="L178" s="340">
        <f t="shared" si="33"/>
        <v>109.85</v>
      </c>
      <c r="M178" s="161"/>
      <c r="N178" s="331">
        <f>J178*L178</f>
        <v>0</v>
      </c>
      <c r="O178" s="546">
        <v>1.7999999999999999E-2</v>
      </c>
      <c r="P178" s="546"/>
      <c r="Q178" s="367">
        <v>0.9</v>
      </c>
      <c r="T178" s="92"/>
    </row>
    <row r="179" spans="1:62" ht="49.5" customHeight="1">
      <c r="A179" s="380" t="s">
        <v>1140</v>
      </c>
      <c r="B179" s="547" t="s">
        <v>399</v>
      </c>
      <c r="C179" s="547"/>
      <c r="D179" s="547"/>
      <c r="E179" s="547" t="s">
        <v>450</v>
      </c>
      <c r="F179" s="547"/>
      <c r="G179" s="547"/>
      <c r="H179" s="354">
        <v>156</v>
      </c>
      <c r="I179" s="222">
        <v>10200</v>
      </c>
      <c r="J179" s="160"/>
      <c r="K179" s="145">
        <f t="shared" si="32"/>
        <v>0.35</v>
      </c>
      <c r="L179" s="340">
        <f t="shared" si="33"/>
        <v>101.4</v>
      </c>
      <c r="M179" s="156"/>
      <c r="N179" s="331">
        <f t="shared" ref="N179:N194" si="34">L179*J179</f>
        <v>0</v>
      </c>
      <c r="O179" s="546">
        <v>1.7999999999999999E-2</v>
      </c>
      <c r="P179" s="546"/>
      <c r="Q179" s="381">
        <v>0.98</v>
      </c>
      <c r="T179" s="92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</row>
    <row r="180" spans="1:62" ht="49.5" customHeight="1">
      <c r="A180" s="401" t="s">
        <v>1274</v>
      </c>
      <c r="B180" s="547" t="s">
        <v>778</v>
      </c>
      <c r="C180" s="547"/>
      <c r="D180" s="547"/>
      <c r="E180" s="547" t="s">
        <v>610</v>
      </c>
      <c r="F180" s="547"/>
      <c r="G180" s="547"/>
      <c r="H180" s="350">
        <v>128</v>
      </c>
      <c r="I180" s="222">
        <v>8400</v>
      </c>
      <c r="J180" s="160"/>
      <c r="K180" s="145">
        <f t="shared" si="32"/>
        <v>0.35</v>
      </c>
      <c r="L180" s="340">
        <f t="shared" si="33"/>
        <v>83.2</v>
      </c>
      <c r="M180" s="156"/>
      <c r="N180" s="331">
        <f t="shared" si="34"/>
        <v>0</v>
      </c>
      <c r="O180" s="546">
        <v>1.7999999999999999E-2</v>
      </c>
      <c r="P180" s="546"/>
      <c r="Q180" s="381">
        <v>0.98</v>
      </c>
      <c r="T180" s="92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</row>
    <row r="181" spans="1:62" ht="40.25" customHeight="1">
      <c r="A181" s="380" t="s">
        <v>1275</v>
      </c>
      <c r="B181" s="547" t="s">
        <v>382</v>
      </c>
      <c r="C181" s="547"/>
      <c r="D181" s="547"/>
      <c r="E181" s="548" t="s">
        <v>369</v>
      </c>
      <c r="F181" s="549"/>
      <c r="G181" s="549"/>
      <c r="H181" s="350">
        <v>377</v>
      </c>
      <c r="I181" s="222">
        <v>24600</v>
      </c>
      <c r="J181" s="160"/>
      <c r="K181" s="145">
        <f t="shared" si="32"/>
        <v>0.35</v>
      </c>
      <c r="L181" s="340">
        <f t="shared" si="33"/>
        <v>245.05</v>
      </c>
      <c r="M181" s="156"/>
      <c r="N181" s="331">
        <f t="shared" si="34"/>
        <v>0</v>
      </c>
      <c r="O181" s="546">
        <v>0.01</v>
      </c>
      <c r="P181" s="546"/>
      <c r="Q181" s="367">
        <v>0.5</v>
      </c>
      <c r="T181" s="92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</row>
    <row r="182" spans="1:62" s="5" customFormat="1" ht="54" customHeight="1">
      <c r="A182" s="402" t="s">
        <v>1276</v>
      </c>
      <c r="B182" s="547" t="s">
        <v>680</v>
      </c>
      <c r="C182" s="547"/>
      <c r="D182" s="547"/>
      <c r="E182" s="547" t="s">
        <v>715</v>
      </c>
      <c r="F182" s="547"/>
      <c r="G182" s="547"/>
      <c r="H182" s="350">
        <v>180</v>
      </c>
      <c r="I182" s="222">
        <v>11700</v>
      </c>
      <c r="J182" s="160"/>
      <c r="K182" s="145">
        <f t="shared" si="32"/>
        <v>0.35</v>
      </c>
      <c r="L182" s="340">
        <f t="shared" si="33"/>
        <v>117</v>
      </c>
      <c r="M182" s="161"/>
      <c r="N182" s="331">
        <f t="shared" si="34"/>
        <v>0</v>
      </c>
      <c r="O182" s="546">
        <v>4.5999999999999999E-2</v>
      </c>
      <c r="P182" s="546"/>
      <c r="Q182" s="381">
        <v>1.8</v>
      </c>
      <c r="R182" s="38"/>
      <c r="S182" s="57"/>
      <c r="T182" s="92"/>
      <c r="U182" s="57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</row>
    <row r="183" spans="1:62" s="5" customFormat="1" ht="54" customHeight="1">
      <c r="A183" s="402" t="s">
        <v>1277</v>
      </c>
      <c r="B183" s="547" t="s">
        <v>681</v>
      </c>
      <c r="C183" s="547"/>
      <c r="D183" s="547"/>
      <c r="E183" s="547" t="s">
        <v>716</v>
      </c>
      <c r="F183" s="547"/>
      <c r="G183" s="547"/>
      <c r="H183" s="350">
        <v>68</v>
      </c>
      <c r="I183" s="222">
        <v>4500</v>
      </c>
      <c r="J183" s="160"/>
      <c r="K183" s="145">
        <f t="shared" si="32"/>
        <v>0.35</v>
      </c>
      <c r="L183" s="340">
        <f t="shared" si="33"/>
        <v>44.2</v>
      </c>
      <c r="M183" s="161"/>
      <c r="N183" s="331">
        <f t="shared" si="34"/>
        <v>0</v>
      </c>
      <c r="O183" s="546">
        <v>4.5999999999999999E-2</v>
      </c>
      <c r="P183" s="546"/>
      <c r="Q183" s="381">
        <v>1.8</v>
      </c>
      <c r="R183" s="38"/>
      <c r="S183" s="57"/>
      <c r="T183" s="92"/>
      <c r="U183" s="57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</row>
    <row r="184" spans="1:62" s="5" customFormat="1" ht="54" customHeight="1">
      <c r="A184" s="402" t="s">
        <v>1278</v>
      </c>
      <c r="B184" s="547" t="s">
        <v>682</v>
      </c>
      <c r="C184" s="547"/>
      <c r="D184" s="547"/>
      <c r="E184" s="547" t="s">
        <v>716</v>
      </c>
      <c r="F184" s="547"/>
      <c r="G184" s="547"/>
      <c r="H184" s="350">
        <v>85</v>
      </c>
      <c r="I184" s="222">
        <v>5600</v>
      </c>
      <c r="J184" s="160"/>
      <c r="K184" s="145">
        <f t="shared" si="32"/>
        <v>0.35</v>
      </c>
      <c r="L184" s="340">
        <f t="shared" si="33"/>
        <v>55.25</v>
      </c>
      <c r="M184" s="161"/>
      <c r="N184" s="331">
        <f t="shared" si="34"/>
        <v>0</v>
      </c>
      <c r="O184" s="546">
        <v>4.7E-2</v>
      </c>
      <c r="P184" s="546"/>
      <c r="Q184" s="381">
        <v>2.4</v>
      </c>
      <c r="R184" s="38"/>
      <c r="S184" s="57"/>
      <c r="T184" s="92"/>
      <c r="U184" s="57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</row>
    <row r="185" spans="1:62" s="5" customFormat="1" ht="54" customHeight="1">
      <c r="A185" s="402" t="s">
        <v>1279</v>
      </c>
      <c r="B185" s="547" t="s">
        <v>696</v>
      </c>
      <c r="C185" s="547"/>
      <c r="D185" s="547"/>
      <c r="E185" s="547" t="s">
        <v>610</v>
      </c>
      <c r="F185" s="547"/>
      <c r="G185" s="547"/>
      <c r="H185" s="350">
        <v>101</v>
      </c>
      <c r="I185" s="222">
        <v>6600</v>
      </c>
      <c r="J185" s="160"/>
      <c r="K185" s="145">
        <f t="shared" si="32"/>
        <v>0.35</v>
      </c>
      <c r="L185" s="340">
        <f t="shared" si="33"/>
        <v>65.650000000000006</v>
      </c>
      <c r="M185" s="161"/>
      <c r="N185" s="331">
        <f t="shared" si="34"/>
        <v>0</v>
      </c>
      <c r="O185" s="546">
        <v>2E-3</v>
      </c>
      <c r="P185" s="546"/>
      <c r="Q185" s="381">
        <v>0.8</v>
      </c>
      <c r="R185" s="38"/>
      <c r="S185" s="57"/>
      <c r="T185" s="92"/>
      <c r="U185" s="57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s="5" customFormat="1" ht="54" customHeight="1">
      <c r="A186" s="402" t="s">
        <v>1259</v>
      </c>
      <c r="B186" s="547" t="s">
        <v>695</v>
      </c>
      <c r="C186" s="547"/>
      <c r="D186" s="547"/>
      <c r="E186" s="547" t="s">
        <v>715</v>
      </c>
      <c r="F186" s="547"/>
      <c r="G186" s="547"/>
      <c r="H186" s="350">
        <v>139</v>
      </c>
      <c r="I186" s="222">
        <v>9100</v>
      </c>
      <c r="J186" s="160"/>
      <c r="K186" s="145">
        <f t="shared" si="32"/>
        <v>0.35</v>
      </c>
      <c r="L186" s="340">
        <f t="shared" si="33"/>
        <v>90.35</v>
      </c>
      <c r="M186" s="161"/>
      <c r="N186" s="331">
        <f t="shared" si="34"/>
        <v>0</v>
      </c>
      <c r="O186" s="546">
        <v>2.9000000000000001E-2</v>
      </c>
      <c r="P186" s="546"/>
      <c r="Q186" s="381">
        <v>2</v>
      </c>
      <c r="R186" s="38"/>
      <c r="S186" s="57"/>
      <c r="T186" s="92"/>
      <c r="U186" s="57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</row>
    <row r="187" spans="1:62" s="5" customFormat="1" ht="54" customHeight="1">
      <c r="A187" s="402" t="s">
        <v>1135</v>
      </c>
      <c r="B187" s="547" t="s">
        <v>688</v>
      </c>
      <c r="C187" s="547"/>
      <c r="D187" s="547"/>
      <c r="E187" s="547" t="s">
        <v>793</v>
      </c>
      <c r="F187" s="547"/>
      <c r="G187" s="547"/>
      <c r="H187" s="354">
        <v>221</v>
      </c>
      <c r="I187" s="222">
        <v>14400</v>
      </c>
      <c r="J187" s="160"/>
      <c r="K187" s="145">
        <f t="shared" si="32"/>
        <v>0.35</v>
      </c>
      <c r="L187" s="340">
        <f t="shared" si="33"/>
        <v>143.65</v>
      </c>
      <c r="M187" s="161"/>
      <c r="N187" s="331">
        <f t="shared" si="34"/>
        <v>0</v>
      </c>
      <c r="O187" s="546">
        <v>0.02</v>
      </c>
      <c r="P187" s="546"/>
      <c r="Q187" s="381">
        <v>1.1000000000000001</v>
      </c>
      <c r="R187" s="38"/>
      <c r="S187" s="57"/>
      <c r="T187" s="92"/>
      <c r="U187" s="57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</row>
    <row r="188" spans="1:62" s="5" customFormat="1" ht="54" customHeight="1">
      <c r="A188" s="402" t="s">
        <v>1136</v>
      </c>
      <c r="B188" s="547" t="s">
        <v>688</v>
      </c>
      <c r="C188" s="547"/>
      <c r="D188" s="547"/>
      <c r="E188" s="547" t="s">
        <v>793</v>
      </c>
      <c r="F188" s="547"/>
      <c r="G188" s="547"/>
      <c r="H188" s="350">
        <v>333</v>
      </c>
      <c r="I188" s="222">
        <v>21700</v>
      </c>
      <c r="J188" s="160"/>
      <c r="K188" s="145">
        <f t="shared" si="32"/>
        <v>0.35</v>
      </c>
      <c r="L188" s="340">
        <f t="shared" si="33"/>
        <v>216.45</v>
      </c>
      <c r="M188" s="161"/>
      <c r="N188" s="331">
        <f t="shared" si="34"/>
        <v>0</v>
      </c>
      <c r="O188" s="546">
        <v>0.02</v>
      </c>
      <c r="P188" s="546"/>
      <c r="Q188" s="381">
        <v>1.1000000000000001</v>
      </c>
      <c r="R188" s="38"/>
      <c r="S188" s="57"/>
      <c r="T188" s="92"/>
      <c r="U188" s="57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</row>
    <row r="189" spans="1:62" s="5" customFormat="1" ht="54" customHeight="1">
      <c r="A189" s="402" t="s">
        <v>1260</v>
      </c>
      <c r="B189" s="547" t="s">
        <v>697</v>
      </c>
      <c r="C189" s="547"/>
      <c r="D189" s="547"/>
      <c r="E189" s="547" t="s">
        <v>779</v>
      </c>
      <c r="F189" s="547"/>
      <c r="G189" s="547"/>
      <c r="H189" s="350">
        <v>131</v>
      </c>
      <c r="I189" s="222">
        <v>8600</v>
      </c>
      <c r="J189" s="160"/>
      <c r="K189" s="145">
        <f t="shared" si="32"/>
        <v>0.35</v>
      </c>
      <c r="L189" s="340">
        <f t="shared" si="33"/>
        <v>85.15</v>
      </c>
      <c r="M189" s="161"/>
      <c r="N189" s="331">
        <f t="shared" si="34"/>
        <v>0</v>
      </c>
      <c r="O189" s="546">
        <v>2E-3</v>
      </c>
      <c r="P189" s="546"/>
      <c r="Q189" s="381">
        <v>2</v>
      </c>
      <c r="R189" s="38"/>
      <c r="S189" s="57"/>
      <c r="T189" s="92"/>
      <c r="U189" s="57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</row>
    <row r="190" spans="1:62" s="5" customFormat="1" ht="54" customHeight="1">
      <c r="A190" s="402" t="s">
        <v>1261</v>
      </c>
      <c r="B190" s="547" t="s">
        <v>698</v>
      </c>
      <c r="C190" s="547"/>
      <c r="D190" s="547"/>
      <c r="E190" s="547" t="s">
        <v>779</v>
      </c>
      <c r="F190" s="547"/>
      <c r="G190" s="547"/>
      <c r="H190" s="350">
        <v>27</v>
      </c>
      <c r="I190" s="222">
        <v>1800</v>
      </c>
      <c r="J190" s="160"/>
      <c r="K190" s="145">
        <f t="shared" si="32"/>
        <v>0.35</v>
      </c>
      <c r="L190" s="340">
        <f t="shared" si="33"/>
        <v>17.55</v>
      </c>
      <c r="M190" s="161"/>
      <c r="N190" s="331">
        <f t="shared" si="34"/>
        <v>0</v>
      </c>
      <c r="O190" s="546">
        <v>0.02</v>
      </c>
      <c r="P190" s="546"/>
      <c r="Q190" s="381">
        <v>0.1</v>
      </c>
      <c r="R190" s="38"/>
      <c r="S190" s="57"/>
      <c r="T190" s="92"/>
      <c r="U190" s="57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</row>
    <row r="191" spans="1:62" ht="42" customHeight="1">
      <c r="A191" s="402" t="s">
        <v>1143</v>
      </c>
      <c r="B191" s="547" t="s">
        <v>376</v>
      </c>
      <c r="C191" s="547"/>
      <c r="D191" s="547"/>
      <c r="E191" s="548" t="s">
        <v>367</v>
      </c>
      <c r="F191" s="548"/>
      <c r="G191" s="548"/>
      <c r="H191" s="354">
        <v>792</v>
      </c>
      <c r="I191" s="222">
        <v>51500</v>
      </c>
      <c r="J191" s="160"/>
      <c r="K191" s="145">
        <f t="shared" si="32"/>
        <v>0.35</v>
      </c>
      <c r="L191" s="340">
        <f t="shared" si="33"/>
        <v>514.79999999999995</v>
      </c>
      <c r="M191" s="161"/>
      <c r="N191" s="331">
        <f t="shared" si="34"/>
        <v>0</v>
      </c>
      <c r="O191" s="545">
        <v>1.6E-2</v>
      </c>
      <c r="P191" s="545"/>
      <c r="Q191" s="403">
        <v>2</v>
      </c>
      <c r="T191" s="92"/>
    </row>
    <row r="192" spans="1:62" ht="39.75" customHeight="1">
      <c r="A192" s="380" t="s">
        <v>1144</v>
      </c>
      <c r="B192" s="547" t="s">
        <v>244</v>
      </c>
      <c r="C192" s="547"/>
      <c r="D192" s="547"/>
      <c r="E192" s="548"/>
      <c r="F192" s="548"/>
      <c r="G192" s="548"/>
      <c r="H192" s="354">
        <v>442</v>
      </c>
      <c r="I192" s="222">
        <v>28800</v>
      </c>
      <c r="J192" s="160"/>
      <c r="K192" s="145">
        <f t="shared" si="32"/>
        <v>0.35</v>
      </c>
      <c r="L192" s="340">
        <f t="shared" si="33"/>
        <v>287.3</v>
      </c>
      <c r="M192" s="161"/>
      <c r="N192" s="331">
        <f t="shared" si="34"/>
        <v>0</v>
      </c>
      <c r="O192" s="545">
        <v>1.6E-2</v>
      </c>
      <c r="P192" s="545"/>
      <c r="Q192" s="403">
        <v>2</v>
      </c>
      <c r="T192" s="92"/>
    </row>
    <row r="193" spans="1:56" ht="39.75" customHeight="1">
      <c r="A193" s="380" t="s">
        <v>1145</v>
      </c>
      <c r="B193" s="547" t="s">
        <v>377</v>
      </c>
      <c r="C193" s="547"/>
      <c r="D193" s="547"/>
      <c r="E193" s="548"/>
      <c r="F193" s="548"/>
      <c r="G193" s="548"/>
      <c r="H193" s="354">
        <v>456</v>
      </c>
      <c r="I193" s="222">
        <v>29700</v>
      </c>
      <c r="J193" s="160"/>
      <c r="K193" s="145">
        <f t="shared" si="32"/>
        <v>0.35</v>
      </c>
      <c r="L193" s="340">
        <f t="shared" si="33"/>
        <v>296.39999999999998</v>
      </c>
      <c r="M193" s="161"/>
      <c r="N193" s="331">
        <f t="shared" si="34"/>
        <v>0</v>
      </c>
      <c r="O193" s="545">
        <v>6.0000000000000001E-3</v>
      </c>
      <c r="P193" s="545"/>
      <c r="Q193" s="367">
        <v>0.27</v>
      </c>
      <c r="T193" s="92"/>
    </row>
    <row r="194" spans="1:56" ht="39.75" customHeight="1">
      <c r="A194" s="380" t="s">
        <v>1146</v>
      </c>
      <c r="B194" s="547" t="s">
        <v>393</v>
      </c>
      <c r="C194" s="547"/>
      <c r="D194" s="547"/>
      <c r="E194" s="548"/>
      <c r="F194" s="548"/>
      <c r="G194" s="548"/>
      <c r="H194" s="350">
        <v>590</v>
      </c>
      <c r="I194" s="222">
        <v>38400</v>
      </c>
      <c r="J194" s="160"/>
      <c r="K194" s="145">
        <f t="shared" si="32"/>
        <v>0.35</v>
      </c>
      <c r="L194" s="340">
        <f t="shared" si="33"/>
        <v>383.5</v>
      </c>
      <c r="M194" s="161"/>
      <c r="N194" s="331">
        <f t="shared" si="34"/>
        <v>0</v>
      </c>
      <c r="O194" s="545">
        <v>6.0000000000000001E-3</v>
      </c>
      <c r="P194" s="545"/>
      <c r="Q194" s="367">
        <v>0.27</v>
      </c>
      <c r="T194" s="92"/>
    </row>
    <row r="195" spans="1:56" s="9" customFormat="1" ht="39.75" customHeight="1">
      <c r="A195" s="380" t="s">
        <v>1133</v>
      </c>
      <c r="B195" s="547" t="s">
        <v>686</v>
      </c>
      <c r="C195" s="547"/>
      <c r="D195" s="547"/>
      <c r="E195" s="548"/>
      <c r="F195" s="548"/>
      <c r="G195" s="548"/>
      <c r="H195" s="354">
        <v>156</v>
      </c>
      <c r="I195" s="222">
        <v>10200</v>
      </c>
      <c r="J195" s="160"/>
      <c r="K195" s="145">
        <f t="shared" si="32"/>
        <v>0.35</v>
      </c>
      <c r="L195" s="340">
        <f t="shared" si="33"/>
        <v>101.4</v>
      </c>
      <c r="M195" s="161"/>
      <c r="N195" s="331">
        <f>L195*J195</f>
        <v>0</v>
      </c>
      <c r="O195" s="654">
        <v>1.6E-2</v>
      </c>
      <c r="P195" s="654"/>
      <c r="Q195" s="374">
        <v>1.5</v>
      </c>
      <c r="R195" s="57"/>
      <c r="S195" s="57"/>
      <c r="T195" s="92"/>
      <c r="U195" s="57"/>
      <c r="V195" s="57"/>
      <c r="W195" s="57"/>
      <c r="X195" s="57"/>
      <c r="Y195" s="57"/>
      <c r="Z195" s="57"/>
      <c r="AA195" s="57"/>
    </row>
    <row r="196" spans="1:56" ht="62.25" customHeight="1">
      <c r="A196" s="380" t="s">
        <v>1262</v>
      </c>
      <c r="B196" s="547" t="s">
        <v>30</v>
      </c>
      <c r="C196" s="547"/>
      <c r="D196" s="547"/>
      <c r="E196" s="548" t="s">
        <v>488</v>
      </c>
      <c r="F196" s="548"/>
      <c r="G196" s="548"/>
      <c r="H196" s="350">
        <v>147</v>
      </c>
      <c r="I196" s="222">
        <v>9600</v>
      </c>
      <c r="J196" s="160"/>
      <c r="K196" s="145">
        <f t="shared" si="32"/>
        <v>0.35</v>
      </c>
      <c r="L196" s="340">
        <f t="shared" si="33"/>
        <v>95.550000000000011</v>
      </c>
      <c r="M196" s="161"/>
      <c r="N196" s="331">
        <f t="shared" ref="N196:N205" si="35">J196*L196</f>
        <v>0</v>
      </c>
      <c r="O196" s="545">
        <v>3.0000000000000001E-3</v>
      </c>
      <c r="P196" s="545"/>
      <c r="Q196" s="367">
        <v>0.6</v>
      </c>
      <c r="T196" s="92"/>
    </row>
    <row r="197" spans="1:56" ht="53.25" customHeight="1">
      <c r="A197" s="380" t="s">
        <v>1263</v>
      </c>
      <c r="B197" s="547" t="s">
        <v>15</v>
      </c>
      <c r="C197" s="547"/>
      <c r="D197" s="547"/>
      <c r="E197" s="548" t="s">
        <v>371</v>
      </c>
      <c r="F197" s="549"/>
      <c r="G197" s="549"/>
      <c r="H197" s="350">
        <v>66</v>
      </c>
      <c r="I197" s="222">
        <v>4300</v>
      </c>
      <c r="J197" s="160"/>
      <c r="K197" s="145">
        <f t="shared" si="32"/>
        <v>0.35</v>
      </c>
      <c r="L197" s="340">
        <f t="shared" si="33"/>
        <v>42.900000000000006</v>
      </c>
      <c r="M197" s="161"/>
      <c r="N197" s="331">
        <f t="shared" si="35"/>
        <v>0</v>
      </c>
      <c r="O197" s="545">
        <v>2E-3</v>
      </c>
      <c r="P197" s="545"/>
      <c r="Q197" s="367">
        <v>0.14000000000000001</v>
      </c>
      <c r="T197" s="92"/>
    </row>
    <row r="198" spans="1:56" ht="53.25" customHeight="1">
      <c r="A198" s="380" t="s">
        <v>1148</v>
      </c>
      <c r="B198" s="547" t="s">
        <v>172</v>
      </c>
      <c r="C198" s="547"/>
      <c r="D198" s="547"/>
      <c r="E198" s="548" t="s">
        <v>487</v>
      </c>
      <c r="F198" s="549"/>
      <c r="G198" s="549"/>
      <c r="H198" s="354">
        <v>85</v>
      </c>
      <c r="I198" s="222">
        <v>5600</v>
      </c>
      <c r="J198" s="160"/>
      <c r="K198" s="145">
        <f t="shared" si="32"/>
        <v>0.35</v>
      </c>
      <c r="L198" s="340">
        <f t="shared" si="33"/>
        <v>55.25</v>
      </c>
      <c r="M198" s="161"/>
      <c r="N198" s="331">
        <f t="shared" si="35"/>
        <v>0</v>
      </c>
      <c r="O198" s="546">
        <v>1.4999999999999999E-2</v>
      </c>
      <c r="P198" s="546"/>
      <c r="Q198" s="367">
        <v>1.04</v>
      </c>
      <c r="T198" s="92"/>
    </row>
    <row r="199" spans="1:56" ht="47.25" customHeight="1">
      <c r="A199" s="380" t="s">
        <v>1264</v>
      </c>
      <c r="B199" s="547" t="s">
        <v>203</v>
      </c>
      <c r="C199" s="547"/>
      <c r="D199" s="547"/>
      <c r="E199" s="548" t="s">
        <v>370</v>
      </c>
      <c r="F199" s="549"/>
      <c r="G199" s="549"/>
      <c r="H199" s="350">
        <v>85</v>
      </c>
      <c r="I199" s="222">
        <v>5600</v>
      </c>
      <c r="J199" s="160"/>
      <c r="K199" s="145">
        <f t="shared" si="32"/>
        <v>0.35</v>
      </c>
      <c r="L199" s="340">
        <f t="shared" si="33"/>
        <v>55.25</v>
      </c>
      <c r="M199" s="161"/>
      <c r="N199" s="331">
        <f t="shared" si="35"/>
        <v>0</v>
      </c>
      <c r="O199" s="546">
        <v>2E-3</v>
      </c>
      <c r="P199" s="546"/>
      <c r="Q199" s="367">
        <v>0.23</v>
      </c>
      <c r="T199" s="92"/>
    </row>
    <row r="200" spans="1:56" ht="47.25" customHeight="1">
      <c r="A200" s="380" t="s">
        <v>1147</v>
      </c>
      <c r="B200" s="547" t="s">
        <v>378</v>
      </c>
      <c r="C200" s="547"/>
      <c r="D200" s="547"/>
      <c r="E200" s="548" t="s">
        <v>452</v>
      </c>
      <c r="F200" s="549"/>
      <c r="G200" s="549"/>
      <c r="H200" s="354">
        <v>549</v>
      </c>
      <c r="I200" s="222">
        <v>35700</v>
      </c>
      <c r="J200" s="160"/>
      <c r="K200" s="145">
        <f t="shared" si="32"/>
        <v>0.35</v>
      </c>
      <c r="L200" s="340">
        <f t="shared" si="33"/>
        <v>356.85</v>
      </c>
      <c r="M200" s="161"/>
      <c r="N200" s="331">
        <f>J200*L200</f>
        <v>0</v>
      </c>
      <c r="O200" s="545">
        <v>8.9999999999999993E-3</v>
      </c>
      <c r="P200" s="545"/>
      <c r="Q200" s="381">
        <v>0.91</v>
      </c>
      <c r="T200" s="92"/>
    </row>
    <row r="201" spans="1:56" ht="47.25" customHeight="1">
      <c r="A201" s="380" t="s">
        <v>1265</v>
      </c>
      <c r="B201" s="547" t="s">
        <v>780</v>
      </c>
      <c r="C201" s="547"/>
      <c r="D201" s="547"/>
      <c r="E201" s="548" t="s">
        <v>781</v>
      </c>
      <c r="F201" s="549"/>
      <c r="G201" s="549"/>
      <c r="H201" s="350">
        <v>123</v>
      </c>
      <c r="I201" s="222">
        <v>8000</v>
      </c>
      <c r="J201" s="160"/>
      <c r="K201" s="145">
        <f t="shared" si="32"/>
        <v>0.35</v>
      </c>
      <c r="L201" s="340">
        <f t="shared" si="33"/>
        <v>79.95</v>
      </c>
      <c r="M201" s="161"/>
      <c r="N201" s="331">
        <f>J201*L201</f>
        <v>0</v>
      </c>
      <c r="O201" s="545">
        <v>4.7E-2</v>
      </c>
      <c r="P201" s="545"/>
      <c r="Q201" s="381">
        <v>2.4</v>
      </c>
      <c r="T201" s="92"/>
    </row>
    <row r="202" spans="1:56" ht="36.75" customHeight="1">
      <c r="A202" s="401" t="s">
        <v>1266</v>
      </c>
      <c r="B202" s="547" t="s">
        <v>151</v>
      </c>
      <c r="C202" s="547"/>
      <c r="D202" s="547"/>
      <c r="E202" s="548" t="s">
        <v>373</v>
      </c>
      <c r="F202" s="549"/>
      <c r="G202" s="549"/>
      <c r="H202" s="350">
        <v>298</v>
      </c>
      <c r="I202" s="222">
        <v>19400</v>
      </c>
      <c r="J202" s="160"/>
      <c r="K202" s="145">
        <f t="shared" si="32"/>
        <v>0.35</v>
      </c>
      <c r="L202" s="340">
        <f t="shared" si="33"/>
        <v>193.7</v>
      </c>
      <c r="M202" s="161"/>
      <c r="N202" s="331">
        <f>J202*L202</f>
        <v>0</v>
      </c>
      <c r="O202" s="546">
        <v>2.9000000000000001E-2</v>
      </c>
      <c r="P202" s="546"/>
      <c r="Q202" s="367">
        <v>0.2</v>
      </c>
      <c r="T202" s="92"/>
    </row>
    <row r="203" spans="1:56" ht="36.75" customHeight="1">
      <c r="A203" s="401" t="s">
        <v>1267</v>
      </c>
      <c r="B203" s="547" t="s">
        <v>151</v>
      </c>
      <c r="C203" s="547"/>
      <c r="D203" s="547"/>
      <c r="E203" s="548" t="s">
        <v>369</v>
      </c>
      <c r="F203" s="549"/>
      <c r="G203" s="549"/>
      <c r="H203" s="350">
        <v>298</v>
      </c>
      <c r="I203" s="222">
        <v>19400</v>
      </c>
      <c r="J203" s="160"/>
      <c r="K203" s="145">
        <f t="shared" si="32"/>
        <v>0.35</v>
      </c>
      <c r="L203" s="340">
        <f t="shared" si="33"/>
        <v>193.7</v>
      </c>
      <c r="M203" s="161"/>
      <c r="N203" s="331">
        <f>J203*L203</f>
        <v>0</v>
      </c>
      <c r="O203" s="546">
        <v>0.1</v>
      </c>
      <c r="P203" s="546"/>
      <c r="Q203" s="367">
        <v>9</v>
      </c>
      <c r="T203" s="92"/>
    </row>
    <row r="204" spans="1:56" ht="36.75" customHeight="1">
      <c r="A204" s="380" t="s">
        <v>1268</v>
      </c>
      <c r="B204" s="547" t="s">
        <v>20</v>
      </c>
      <c r="C204" s="547"/>
      <c r="D204" s="547"/>
      <c r="E204" s="548" t="s">
        <v>373</v>
      </c>
      <c r="F204" s="549"/>
      <c r="G204" s="549"/>
      <c r="H204" s="350">
        <v>505</v>
      </c>
      <c r="I204" s="222">
        <v>32900</v>
      </c>
      <c r="J204" s="160"/>
      <c r="K204" s="145">
        <f t="shared" si="32"/>
        <v>0.35</v>
      </c>
      <c r="L204" s="340">
        <f t="shared" si="33"/>
        <v>328.25</v>
      </c>
      <c r="M204" s="161"/>
      <c r="N204" s="331">
        <f t="shared" si="35"/>
        <v>0</v>
      </c>
      <c r="O204" s="546">
        <v>5.0999999999999997E-2</v>
      </c>
      <c r="P204" s="546"/>
      <c r="Q204" s="367">
        <v>5.5</v>
      </c>
      <c r="T204" s="92"/>
    </row>
    <row r="205" spans="1:56" ht="36.75" customHeight="1">
      <c r="A205" s="380" t="s">
        <v>1269</v>
      </c>
      <c r="B205" s="547" t="s">
        <v>20</v>
      </c>
      <c r="C205" s="547"/>
      <c r="D205" s="547"/>
      <c r="E205" s="548" t="s">
        <v>369</v>
      </c>
      <c r="F205" s="549"/>
      <c r="G205" s="549"/>
      <c r="H205" s="350">
        <v>650</v>
      </c>
      <c r="I205" s="222">
        <v>42300</v>
      </c>
      <c r="J205" s="160"/>
      <c r="K205" s="145">
        <f t="shared" si="32"/>
        <v>0.35</v>
      </c>
      <c r="L205" s="340">
        <f t="shared" si="33"/>
        <v>422.5</v>
      </c>
      <c r="M205" s="161"/>
      <c r="N205" s="331">
        <f t="shared" si="35"/>
        <v>0</v>
      </c>
      <c r="O205" s="546">
        <v>0.1</v>
      </c>
      <c r="P205" s="546"/>
      <c r="Q205" s="367">
        <v>9</v>
      </c>
      <c r="T205" s="92"/>
    </row>
    <row r="206" spans="1:56" s="54" customFormat="1" ht="18" customHeight="1">
      <c r="A206" s="404" t="s">
        <v>535</v>
      </c>
      <c r="B206" s="113"/>
      <c r="C206" s="113"/>
      <c r="D206" s="113"/>
      <c r="E206" s="113"/>
      <c r="F206" s="83"/>
      <c r="G206" s="83"/>
      <c r="H206" s="163"/>
      <c r="I206" s="163"/>
      <c r="J206" s="164"/>
      <c r="K206" s="165"/>
      <c r="L206" s="166"/>
      <c r="M206" s="80"/>
      <c r="N206" s="167"/>
      <c r="O206" s="168"/>
      <c r="P206" s="168"/>
      <c r="Q206" s="405"/>
      <c r="R206" s="57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</row>
    <row r="207" spans="1:56">
      <c r="A207" s="640" t="str">
        <f>'Бытовая серия'!A186:Q186</f>
        <v>www.general-aircond.ru</v>
      </c>
      <c r="B207" s="641"/>
      <c r="C207" s="641"/>
      <c r="D207" s="641"/>
      <c r="E207" s="641"/>
      <c r="F207" s="641"/>
      <c r="G207" s="641"/>
      <c r="H207" s="641"/>
      <c r="I207" s="641"/>
      <c r="J207" s="641"/>
      <c r="K207" s="641"/>
      <c r="L207" s="641"/>
      <c r="M207" s="641"/>
      <c r="N207" s="641"/>
      <c r="O207" s="641"/>
      <c r="P207" s="641"/>
      <c r="Q207" s="642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</row>
    <row r="208" spans="1:56">
      <c r="A208" s="643"/>
      <c r="B208" s="644"/>
      <c r="C208" s="644"/>
      <c r="D208" s="644"/>
      <c r="E208" s="644"/>
      <c r="F208" s="644"/>
      <c r="G208" s="644"/>
      <c r="H208" s="644"/>
      <c r="I208" s="644"/>
      <c r="J208" s="644"/>
      <c r="K208" s="644"/>
      <c r="L208" s="644"/>
      <c r="M208" s="644"/>
      <c r="N208" s="644"/>
      <c r="O208" s="644"/>
      <c r="P208" s="644"/>
      <c r="Q208" s="645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</row>
    <row r="209" spans="1:56">
      <c r="A209" s="646" t="str">
        <f>'Бытовая серия'!A188:Q188</f>
        <v>e-mail: Dealer@profcond.com</v>
      </c>
      <c r="B209" s="647"/>
      <c r="C209" s="647"/>
      <c r="D209" s="647"/>
      <c r="E209" s="647"/>
      <c r="F209" s="647"/>
      <c r="G209" s="647"/>
      <c r="H209" s="647"/>
      <c r="I209" s="647"/>
      <c r="J209" s="647"/>
      <c r="K209" s="647"/>
      <c r="L209" s="647"/>
      <c r="M209" s="647"/>
      <c r="N209" s="647"/>
      <c r="O209" s="647"/>
      <c r="P209" s="647"/>
      <c r="Q209" s="648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</row>
    <row r="210" spans="1:56">
      <c r="A210" s="649" t="str">
        <f>'Бытовая серия'!A189:Q189</f>
        <v>компания "АЯК-Москва"</v>
      </c>
      <c r="B210" s="650"/>
      <c r="C210" s="650"/>
      <c r="D210" s="650"/>
      <c r="E210" s="650"/>
      <c r="F210" s="650"/>
      <c r="G210" s="650"/>
      <c r="H210" s="650"/>
      <c r="I210" s="650"/>
      <c r="J210" s="650"/>
      <c r="K210" s="650"/>
      <c r="L210" s="650"/>
      <c r="M210" s="650"/>
      <c r="N210" s="650"/>
      <c r="O210" s="650"/>
      <c r="P210" s="650"/>
      <c r="Q210" s="651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</row>
    <row r="211" spans="1:56">
      <c r="A211" s="649" t="str">
        <f>'Бытовая серия'!A190:Q190</f>
        <v>111020, г. Москва, ул. 2-я Синичкина, д. 9А, Бизнес-центр Синица Плаза</v>
      </c>
      <c r="B211" s="650"/>
      <c r="C211" s="650"/>
      <c r="D211" s="650"/>
      <c r="E211" s="650"/>
      <c r="F211" s="650"/>
      <c r="G211" s="650"/>
      <c r="H211" s="650"/>
      <c r="I211" s="650"/>
      <c r="J211" s="650"/>
      <c r="K211" s="650"/>
      <c r="L211" s="650"/>
      <c r="M211" s="650"/>
      <c r="N211" s="650"/>
      <c r="O211" s="650"/>
      <c r="P211" s="650"/>
      <c r="Q211" s="651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</row>
    <row r="212" spans="1:56" ht="13" thickBot="1">
      <c r="A212" s="637" t="str">
        <f>'Бытовая серия'!A191:Q191</f>
        <v>Тел./факс: 8-800-23456-05</v>
      </c>
      <c r="B212" s="638"/>
      <c r="C212" s="638"/>
      <c r="D212" s="638"/>
      <c r="E212" s="638"/>
      <c r="F212" s="638"/>
      <c r="G212" s="638"/>
      <c r="H212" s="638"/>
      <c r="I212" s="638"/>
      <c r="J212" s="638"/>
      <c r="K212" s="638"/>
      <c r="L212" s="638"/>
      <c r="M212" s="638"/>
      <c r="N212" s="638"/>
      <c r="O212" s="638"/>
      <c r="P212" s="638"/>
      <c r="Q212" s="639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</row>
    <row r="213" spans="1:56" s="57" customFormat="1" ht="21" customHeight="1"/>
    <row r="214" spans="1:56" s="57" customFormat="1"/>
    <row r="215" spans="1:56" s="57" customFormat="1" ht="15" customHeight="1"/>
    <row r="216" spans="1:56" s="57" customFormat="1"/>
    <row r="217" spans="1:56" s="57" customFormat="1" ht="15" customHeight="1"/>
    <row r="218" spans="1:56" s="57" customFormat="1"/>
    <row r="219" spans="1:56" s="57" customFormat="1" ht="13.5" customHeight="1"/>
    <row r="220" spans="1:56" s="57" customFormat="1"/>
    <row r="221" spans="1:56" s="57" customFormat="1" ht="13.5" customHeight="1"/>
    <row r="222" spans="1:56" s="57" customFormat="1" ht="15" customHeight="1"/>
    <row r="223" spans="1:56" s="57" customFormat="1"/>
    <row r="224" spans="1:56" s="57" customFormat="1" ht="15" customHeight="1"/>
    <row r="225" s="57" customFormat="1"/>
    <row r="226" s="57" customFormat="1"/>
    <row r="227" s="57" customFormat="1" ht="13.5" customHeight="1"/>
    <row r="228" s="57" customFormat="1" ht="15" customHeight="1"/>
    <row r="229" s="57" customFormat="1"/>
    <row r="230" s="57" customFormat="1" ht="15" customHeight="1"/>
    <row r="231" s="57" customFormat="1"/>
    <row r="232" s="57" customFormat="1" ht="15" customHeight="1"/>
    <row r="233" s="57" customFormat="1"/>
    <row r="234" s="57" customFormat="1" ht="15" customHeight="1"/>
    <row r="235" s="57" customFormat="1"/>
    <row r="236" s="57" customFormat="1"/>
    <row r="237" s="57" customFormat="1"/>
    <row r="238" s="57" customFormat="1" ht="16.5" customHeight="1"/>
    <row r="239" s="57" customFormat="1" ht="16.5" customHeight="1"/>
    <row r="240" s="57" customFormat="1" ht="16.5" customHeight="1"/>
    <row r="241" s="57" customFormat="1" ht="16.5" customHeight="1"/>
    <row r="242" s="57" customFormat="1" ht="16.5" customHeight="1"/>
    <row r="243" s="57" customFormat="1" ht="16.5" customHeight="1"/>
    <row r="244" s="57" customFormat="1" ht="16.5" customHeight="1"/>
    <row r="245" s="57" customFormat="1" ht="16.5" customHeight="1"/>
    <row r="246" s="57" customFormat="1" ht="16.5" customHeight="1"/>
    <row r="247" s="57" customFormat="1" ht="16.5" customHeight="1"/>
    <row r="248" s="57" customFormat="1" ht="16.5" customHeight="1"/>
    <row r="249" s="57" customFormat="1"/>
    <row r="250" s="57" customFormat="1" ht="16.5" customHeight="1"/>
    <row r="251" s="57" customFormat="1" ht="16.5" customHeight="1"/>
    <row r="252" s="57" customFormat="1" ht="16.5" customHeight="1"/>
    <row r="253" s="57" customFormat="1" ht="16.5" customHeight="1"/>
    <row r="254" s="57" customFormat="1" ht="16.5" customHeight="1"/>
    <row r="255" s="57" customFormat="1"/>
    <row r="256" s="57" customFormat="1" ht="12.75" customHeight="1"/>
    <row r="257" s="57" customFormat="1" ht="12.75" customHeight="1"/>
    <row r="258" s="57" customFormat="1"/>
    <row r="259" s="57" customFormat="1" ht="27.75" customHeight="1"/>
    <row r="260" s="57" customFormat="1"/>
  </sheetData>
  <customSheetViews>
    <customSheetView guid="{FA833650-9147-48FF-9246-B3943D91CD8D}" scale="75" showPageBreaks="1" printArea="1" hiddenColumns="1" view="pageBreakPreview">
      <pane ySplit="7" topLeftCell="A113" activePane="bottomLeft" state="frozen"/>
      <selection pane="bottomLeft"/>
      <rowBreaks count="1" manualBreakCount="1">
        <brk id="70" max="18" man="1"/>
      </rowBreaks>
      <pageMargins left="0.70866141732283472" right="0.70866141732283472" top="0.74803149606299213" bottom="0.74803149606299213" header="0.31496062992125984" footer="0.31496062992125984"/>
      <pageSetup paperSize="9" scale="40" orientation="portrait" r:id="rId1"/>
    </customSheetView>
  </customSheetViews>
  <mergeCells count="535">
    <mergeCell ref="A149:A151"/>
    <mergeCell ref="C149:C151"/>
    <mergeCell ref="D149:D151"/>
    <mergeCell ref="E149:E151"/>
    <mergeCell ref="F149:F151"/>
    <mergeCell ref="G149:G151"/>
    <mergeCell ref="I149:I151"/>
    <mergeCell ref="L149:L151"/>
    <mergeCell ref="A143:A145"/>
    <mergeCell ref="C143:C145"/>
    <mergeCell ref="D143:D145"/>
    <mergeCell ref="E143:E145"/>
    <mergeCell ref="F143:F145"/>
    <mergeCell ref="G143:G145"/>
    <mergeCell ref="I143:I145"/>
    <mergeCell ref="L143:L145"/>
    <mergeCell ref="A146:A148"/>
    <mergeCell ref="C146:C148"/>
    <mergeCell ref="D146:D148"/>
    <mergeCell ref="E146:E148"/>
    <mergeCell ref="F146:F148"/>
    <mergeCell ref="G146:G148"/>
    <mergeCell ref="I146:I148"/>
    <mergeCell ref="L146:L148"/>
    <mergeCell ref="A137:A139"/>
    <mergeCell ref="C137:C139"/>
    <mergeCell ref="D137:D139"/>
    <mergeCell ref="E137:E139"/>
    <mergeCell ref="F137:F139"/>
    <mergeCell ref="G137:G139"/>
    <mergeCell ref="I137:I139"/>
    <mergeCell ref="L137:L139"/>
    <mergeCell ref="A140:A142"/>
    <mergeCell ref="C140:C142"/>
    <mergeCell ref="D140:D142"/>
    <mergeCell ref="E140:E142"/>
    <mergeCell ref="F140:F142"/>
    <mergeCell ref="G140:G142"/>
    <mergeCell ref="I140:I142"/>
    <mergeCell ref="L140:L142"/>
    <mergeCell ref="A133:Q133"/>
    <mergeCell ref="A134:A136"/>
    <mergeCell ref="C134:C136"/>
    <mergeCell ref="D134:D136"/>
    <mergeCell ref="E134:E136"/>
    <mergeCell ref="F134:F136"/>
    <mergeCell ref="G134:G136"/>
    <mergeCell ref="I134:I136"/>
    <mergeCell ref="L134:L136"/>
    <mergeCell ref="A129:A131"/>
    <mergeCell ref="C129:C131"/>
    <mergeCell ref="D129:D131"/>
    <mergeCell ref="E129:E131"/>
    <mergeCell ref="F129:F131"/>
    <mergeCell ref="G129:G131"/>
    <mergeCell ref="I129:I131"/>
    <mergeCell ref="L129:L131"/>
    <mergeCell ref="A132:M132"/>
    <mergeCell ref="A126:A128"/>
    <mergeCell ref="C126:C128"/>
    <mergeCell ref="D126:D128"/>
    <mergeCell ref="E126:E128"/>
    <mergeCell ref="F126:F128"/>
    <mergeCell ref="G126:G128"/>
    <mergeCell ref="I126:I128"/>
    <mergeCell ref="L126:L128"/>
    <mergeCell ref="A120:A122"/>
    <mergeCell ref="C120:C122"/>
    <mergeCell ref="D120:D122"/>
    <mergeCell ref="E120:E122"/>
    <mergeCell ref="F120:F122"/>
    <mergeCell ref="G120:G122"/>
    <mergeCell ref="I120:I122"/>
    <mergeCell ref="L120:L122"/>
    <mergeCell ref="I117:I119"/>
    <mergeCell ref="L117:L119"/>
    <mergeCell ref="A114:A116"/>
    <mergeCell ref="C114:C116"/>
    <mergeCell ref="D114:D116"/>
    <mergeCell ref="E114:E116"/>
    <mergeCell ref="F114:F116"/>
    <mergeCell ref="G114:G116"/>
    <mergeCell ref="I114:I116"/>
    <mergeCell ref="L114:L116"/>
    <mergeCell ref="A57:A59"/>
    <mergeCell ref="C57:C59"/>
    <mergeCell ref="D57:D59"/>
    <mergeCell ref="E57:E59"/>
    <mergeCell ref="F57:F59"/>
    <mergeCell ref="G57:G59"/>
    <mergeCell ref="I57:I59"/>
    <mergeCell ref="L57:L59"/>
    <mergeCell ref="A123:A125"/>
    <mergeCell ref="C123:C125"/>
    <mergeCell ref="D123:D125"/>
    <mergeCell ref="E123:E125"/>
    <mergeCell ref="F123:F125"/>
    <mergeCell ref="G123:G125"/>
    <mergeCell ref="I123:I125"/>
    <mergeCell ref="L123:L125"/>
    <mergeCell ref="A112:M112"/>
    <mergeCell ref="A113:Q113"/>
    <mergeCell ref="A117:A119"/>
    <mergeCell ref="C117:C119"/>
    <mergeCell ref="D117:D119"/>
    <mergeCell ref="E117:E119"/>
    <mergeCell ref="F117:F119"/>
    <mergeCell ref="G117:G119"/>
    <mergeCell ref="A51:A53"/>
    <mergeCell ref="C51:C53"/>
    <mergeCell ref="D51:D53"/>
    <mergeCell ref="E51:E53"/>
    <mergeCell ref="F51:F53"/>
    <mergeCell ref="G51:G53"/>
    <mergeCell ref="I51:I53"/>
    <mergeCell ref="L51:L53"/>
    <mergeCell ref="A54:A56"/>
    <mergeCell ref="C54:C56"/>
    <mergeCell ref="D54:D56"/>
    <mergeCell ref="E54:E56"/>
    <mergeCell ref="F54:F56"/>
    <mergeCell ref="G54:G56"/>
    <mergeCell ref="I54:I56"/>
    <mergeCell ref="L54:L56"/>
    <mergeCell ref="A45:A47"/>
    <mergeCell ref="C45:C47"/>
    <mergeCell ref="D45:D47"/>
    <mergeCell ref="E45:E47"/>
    <mergeCell ref="F45:F47"/>
    <mergeCell ref="G45:G47"/>
    <mergeCell ref="I45:I47"/>
    <mergeCell ref="L45:L47"/>
    <mergeCell ref="A48:A50"/>
    <mergeCell ref="C48:C50"/>
    <mergeCell ref="D48:D50"/>
    <mergeCell ref="E48:E50"/>
    <mergeCell ref="F48:F50"/>
    <mergeCell ref="G48:G50"/>
    <mergeCell ref="I48:I50"/>
    <mergeCell ref="L48:L50"/>
    <mergeCell ref="A39:A41"/>
    <mergeCell ref="C39:C41"/>
    <mergeCell ref="D39:D41"/>
    <mergeCell ref="E39:E41"/>
    <mergeCell ref="F39:F41"/>
    <mergeCell ref="G39:G41"/>
    <mergeCell ref="I39:I41"/>
    <mergeCell ref="L39:L41"/>
    <mergeCell ref="A42:A44"/>
    <mergeCell ref="C42:C44"/>
    <mergeCell ref="D42:D44"/>
    <mergeCell ref="E42:E44"/>
    <mergeCell ref="F42:F44"/>
    <mergeCell ref="G42:G44"/>
    <mergeCell ref="I42:I44"/>
    <mergeCell ref="L42:L44"/>
    <mergeCell ref="A28:M28"/>
    <mergeCell ref="A29:Q29"/>
    <mergeCell ref="A30:A32"/>
    <mergeCell ref="C30:C32"/>
    <mergeCell ref="D30:D32"/>
    <mergeCell ref="E30:E32"/>
    <mergeCell ref="F30:F32"/>
    <mergeCell ref="G30:G32"/>
    <mergeCell ref="I30:I32"/>
    <mergeCell ref="L30:L32"/>
    <mergeCell ref="A33:A35"/>
    <mergeCell ref="C33:C35"/>
    <mergeCell ref="D33:D35"/>
    <mergeCell ref="E33:E35"/>
    <mergeCell ref="F33:F35"/>
    <mergeCell ref="G33:G35"/>
    <mergeCell ref="I33:I35"/>
    <mergeCell ref="L33:L35"/>
    <mergeCell ref="A36:A38"/>
    <mergeCell ref="C36:C38"/>
    <mergeCell ref="D36:D38"/>
    <mergeCell ref="E36:E38"/>
    <mergeCell ref="F36:F38"/>
    <mergeCell ref="G36:G38"/>
    <mergeCell ref="I36:I38"/>
    <mergeCell ref="L36:L38"/>
    <mergeCell ref="A89:A91"/>
    <mergeCell ref="C89:C91"/>
    <mergeCell ref="D89:D91"/>
    <mergeCell ref="E89:E91"/>
    <mergeCell ref="F89:F91"/>
    <mergeCell ref="G89:G91"/>
    <mergeCell ref="I89:I91"/>
    <mergeCell ref="L89:L91"/>
    <mergeCell ref="C86:C88"/>
    <mergeCell ref="D86:D88"/>
    <mergeCell ref="E86:E88"/>
    <mergeCell ref="F86:F88"/>
    <mergeCell ref="G86:G88"/>
    <mergeCell ref="I86:I88"/>
    <mergeCell ref="L86:L88"/>
    <mergeCell ref="A77:A79"/>
    <mergeCell ref="C77:C79"/>
    <mergeCell ref="D77:D79"/>
    <mergeCell ref="E77:E79"/>
    <mergeCell ref="F77:F79"/>
    <mergeCell ref="G77:G79"/>
    <mergeCell ref="I77:I79"/>
    <mergeCell ref="L77:L79"/>
    <mergeCell ref="A83:A85"/>
    <mergeCell ref="C83:C85"/>
    <mergeCell ref="D83:D85"/>
    <mergeCell ref="E83:E85"/>
    <mergeCell ref="F83:F85"/>
    <mergeCell ref="G83:G85"/>
    <mergeCell ref="I83:I85"/>
    <mergeCell ref="L83:L85"/>
    <mergeCell ref="C74:C76"/>
    <mergeCell ref="D74:D76"/>
    <mergeCell ref="E74:E76"/>
    <mergeCell ref="F74:F76"/>
    <mergeCell ref="G74:G76"/>
    <mergeCell ref="I74:I76"/>
    <mergeCell ref="L74:L76"/>
    <mergeCell ref="C80:C82"/>
    <mergeCell ref="D80:D82"/>
    <mergeCell ref="E80:E82"/>
    <mergeCell ref="F80:F82"/>
    <mergeCell ref="G80:G82"/>
    <mergeCell ref="I80:I82"/>
    <mergeCell ref="L80:L82"/>
    <mergeCell ref="C68:C70"/>
    <mergeCell ref="D68:D70"/>
    <mergeCell ref="E68:E70"/>
    <mergeCell ref="F68:F70"/>
    <mergeCell ref="G68:G70"/>
    <mergeCell ref="I68:I70"/>
    <mergeCell ref="L68:L70"/>
    <mergeCell ref="C71:C73"/>
    <mergeCell ref="D71:D73"/>
    <mergeCell ref="E71:E73"/>
    <mergeCell ref="F71:F73"/>
    <mergeCell ref="G71:G73"/>
    <mergeCell ref="I71:I73"/>
    <mergeCell ref="L71:L73"/>
    <mergeCell ref="F62:F64"/>
    <mergeCell ref="G62:G64"/>
    <mergeCell ref="I62:I64"/>
    <mergeCell ref="L62:L64"/>
    <mergeCell ref="C65:C67"/>
    <mergeCell ref="D65:D67"/>
    <mergeCell ref="E65:E67"/>
    <mergeCell ref="F65:F67"/>
    <mergeCell ref="G65:G67"/>
    <mergeCell ref="I65:I67"/>
    <mergeCell ref="L65:L67"/>
    <mergeCell ref="I19:I21"/>
    <mergeCell ref="I22:I24"/>
    <mergeCell ref="I157:I159"/>
    <mergeCell ref="I160:I162"/>
    <mergeCell ref="I163:I165"/>
    <mergeCell ref="I166:I168"/>
    <mergeCell ref="I169:I171"/>
    <mergeCell ref="I25:I27"/>
    <mergeCell ref="I94:I96"/>
    <mergeCell ref="I97:I99"/>
    <mergeCell ref="I100:I102"/>
    <mergeCell ref="I106:I108"/>
    <mergeCell ref="A60:M60"/>
    <mergeCell ref="A61:Q61"/>
    <mergeCell ref="A62:A64"/>
    <mergeCell ref="A65:A67"/>
    <mergeCell ref="A68:A70"/>
    <mergeCell ref="A71:A73"/>
    <mergeCell ref="A74:A76"/>
    <mergeCell ref="A80:A82"/>
    <mergeCell ref="A86:A88"/>
    <mergeCell ref="C62:C64"/>
    <mergeCell ref="D62:D64"/>
    <mergeCell ref="E62:E64"/>
    <mergeCell ref="E200:G200"/>
    <mergeCell ref="O200:P200"/>
    <mergeCell ref="E196:G196"/>
    <mergeCell ref="E204:G204"/>
    <mergeCell ref="O204:P204"/>
    <mergeCell ref="B205:D205"/>
    <mergeCell ref="E205:G205"/>
    <mergeCell ref="O205:P205"/>
    <mergeCell ref="E202:G202"/>
    <mergeCell ref="O202:P202"/>
    <mergeCell ref="B203:D203"/>
    <mergeCell ref="E203:G203"/>
    <mergeCell ref="O203:P203"/>
    <mergeCell ref="B204:D204"/>
    <mergeCell ref="E201:G201"/>
    <mergeCell ref="B199:D199"/>
    <mergeCell ref="B200:D200"/>
    <mergeCell ref="B196:D196"/>
    <mergeCell ref="O191:P191"/>
    <mergeCell ref="O196:P196"/>
    <mergeCell ref="E197:G197"/>
    <mergeCell ref="O197:P197"/>
    <mergeCell ref="E198:G198"/>
    <mergeCell ref="O198:P198"/>
    <mergeCell ref="E199:G199"/>
    <mergeCell ref="O199:P199"/>
    <mergeCell ref="O194:P194"/>
    <mergeCell ref="O192:P192"/>
    <mergeCell ref="O193:P193"/>
    <mergeCell ref="O195:P195"/>
    <mergeCell ref="O182:P182"/>
    <mergeCell ref="O183:P183"/>
    <mergeCell ref="O184:P184"/>
    <mergeCell ref="O185:P185"/>
    <mergeCell ref="O186:P186"/>
    <mergeCell ref="O187:P187"/>
    <mergeCell ref="O188:P188"/>
    <mergeCell ref="O189:P189"/>
    <mergeCell ref="O190:P190"/>
    <mergeCell ref="E182:G182"/>
    <mergeCell ref="B183:D183"/>
    <mergeCell ref="E183:G183"/>
    <mergeCell ref="O180:P180"/>
    <mergeCell ref="E181:G181"/>
    <mergeCell ref="O181:P181"/>
    <mergeCell ref="F106:F108"/>
    <mergeCell ref="G97:G99"/>
    <mergeCell ref="G94:G96"/>
    <mergeCell ref="L94:L96"/>
    <mergeCell ref="I154:I156"/>
    <mergeCell ref="D94:D96"/>
    <mergeCell ref="O176:P176"/>
    <mergeCell ref="L169:L171"/>
    <mergeCell ref="E176:G176"/>
    <mergeCell ref="L157:L159"/>
    <mergeCell ref="L166:L168"/>
    <mergeCell ref="D154:D156"/>
    <mergeCell ref="F154:F156"/>
    <mergeCell ref="L154:L156"/>
    <mergeCell ref="L100:L102"/>
    <mergeCell ref="D100:D102"/>
    <mergeCell ref="E100:E102"/>
    <mergeCell ref="F100:F102"/>
    <mergeCell ref="I13:I15"/>
    <mergeCell ref="I16:I18"/>
    <mergeCell ref="E10:E12"/>
    <mergeCell ref="L25:L27"/>
    <mergeCell ref="D166:D168"/>
    <mergeCell ref="A100:A102"/>
    <mergeCell ref="C100:C102"/>
    <mergeCell ref="E187:G187"/>
    <mergeCell ref="E184:G184"/>
    <mergeCell ref="B185:D185"/>
    <mergeCell ref="E185:G185"/>
    <mergeCell ref="E180:G180"/>
    <mergeCell ref="G166:G168"/>
    <mergeCell ref="A175:M175"/>
    <mergeCell ref="B176:D176"/>
    <mergeCell ref="E97:E99"/>
    <mergeCell ref="F97:F99"/>
    <mergeCell ref="D97:D99"/>
    <mergeCell ref="A97:A99"/>
    <mergeCell ref="C97:C99"/>
    <mergeCell ref="E94:E96"/>
    <mergeCell ref="F94:F96"/>
    <mergeCell ref="A94:A96"/>
    <mergeCell ref="C94:C96"/>
    <mergeCell ref="C22:C24"/>
    <mergeCell ref="A106:A108"/>
    <mergeCell ref="C106:C108"/>
    <mergeCell ref="L10:L12"/>
    <mergeCell ref="A10:A12"/>
    <mergeCell ref="C10:C12"/>
    <mergeCell ref="D10:D12"/>
    <mergeCell ref="A8:M8"/>
    <mergeCell ref="A9:Q9"/>
    <mergeCell ref="I10:I12"/>
    <mergeCell ref="A16:A18"/>
    <mergeCell ref="C16:C18"/>
    <mergeCell ref="D16:D18"/>
    <mergeCell ref="E16:E18"/>
    <mergeCell ref="F16:F18"/>
    <mergeCell ref="G16:G18"/>
    <mergeCell ref="L16:L18"/>
    <mergeCell ref="A13:A15"/>
    <mergeCell ref="C13:C15"/>
    <mergeCell ref="D13:D15"/>
    <mergeCell ref="E13:E15"/>
    <mergeCell ref="F13:F15"/>
    <mergeCell ref="G13:G15"/>
    <mergeCell ref="L13:L15"/>
    <mergeCell ref="A166:A168"/>
    <mergeCell ref="C166:C168"/>
    <mergeCell ref="A172:A174"/>
    <mergeCell ref="L19:L21"/>
    <mergeCell ref="G106:G108"/>
    <mergeCell ref="D106:D108"/>
    <mergeCell ref="L97:L99"/>
    <mergeCell ref="G100:G102"/>
    <mergeCell ref="D163:D165"/>
    <mergeCell ref="E163:E165"/>
    <mergeCell ref="F163:F165"/>
    <mergeCell ref="G163:G165"/>
    <mergeCell ref="L163:L165"/>
    <mergeCell ref="A92:M92"/>
    <mergeCell ref="A93:Q93"/>
    <mergeCell ref="A19:A21"/>
    <mergeCell ref="C19:C21"/>
    <mergeCell ref="D19:D21"/>
    <mergeCell ref="E19:E21"/>
    <mergeCell ref="L22:L24"/>
    <mergeCell ref="A25:A27"/>
    <mergeCell ref="C25:C27"/>
    <mergeCell ref="D25:D27"/>
    <mergeCell ref="A22:A24"/>
    <mergeCell ref="L172:L174"/>
    <mergeCell ref="G169:G171"/>
    <mergeCell ref="I172:I174"/>
    <mergeCell ref="F169:F171"/>
    <mergeCell ref="A210:Q210"/>
    <mergeCell ref="A211:Q211"/>
    <mergeCell ref="O201:P201"/>
    <mergeCell ref="L106:L108"/>
    <mergeCell ref="A152:M152"/>
    <mergeCell ref="A153:Q153"/>
    <mergeCell ref="A154:A156"/>
    <mergeCell ref="G160:G162"/>
    <mergeCell ref="L160:L162"/>
    <mergeCell ref="F160:F162"/>
    <mergeCell ref="A157:A159"/>
    <mergeCell ref="E157:E159"/>
    <mergeCell ref="F157:F159"/>
    <mergeCell ref="C157:C159"/>
    <mergeCell ref="D157:D159"/>
    <mergeCell ref="G157:G159"/>
    <mergeCell ref="E154:E156"/>
    <mergeCell ref="A163:A165"/>
    <mergeCell ref="C163:C165"/>
    <mergeCell ref="A160:A162"/>
    <mergeCell ref="A169:A171"/>
    <mergeCell ref="C169:C171"/>
    <mergeCell ref="D169:D171"/>
    <mergeCell ref="E169:E171"/>
    <mergeCell ref="A212:Q212"/>
    <mergeCell ref="A207:Q207"/>
    <mergeCell ref="A208:Q208"/>
    <mergeCell ref="A209:Q209"/>
    <mergeCell ref="E179:G179"/>
    <mergeCell ref="O179:P179"/>
    <mergeCell ref="E178:G178"/>
    <mergeCell ref="O178:P178"/>
    <mergeCell ref="O177:P177"/>
    <mergeCell ref="B178:D178"/>
    <mergeCell ref="B179:D179"/>
    <mergeCell ref="B181:D181"/>
    <mergeCell ref="B180:D180"/>
    <mergeCell ref="B189:D189"/>
    <mergeCell ref="B190:D190"/>
    <mergeCell ref="B191:D191"/>
    <mergeCell ref="B201:D201"/>
    <mergeCell ref="B202:D202"/>
    <mergeCell ref="B192:D192"/>
    <mergeCell ref="B193:D193"/>
    <mergeCell ref="B194:D194"/>
    <mergeCell ref="B197:D197"/>
    <mergeCell ref="B198:D198"/>
    <mergeCell ref="A5:A7"/>
    <mergeCell ref="C5:D5"/>
    <mergeCell ref="E5:F5"/>
    <mergeCell ref="G5:G7"/>
    <mergeCell ref="J5:J7"/>
    <mergeCell ref="Q5:Q7"/>
    <mergeCell ref="C6:C7"/>
    <mergeCell ref="D6:D7"/>
    <mergeCell ref="I5:I7"/>
    <mergeCell ref="E189:G189"/>
    <mergeCell ref="E190:G190"/>
    <mergeCell ref="B188:D188"/>
    <mergeCell ref="B195:D195"/>
    <mergeCell ref="E191:G195"/>
    <mergeCell ref="F19:F21"/>
    <mergeCell ref="G19:G21"/>
    <mergeCell ref="E188:G188"/>
    <mergeCell ref="B184:D184"/>
    <mergeCell ref="C154:C156"/>
    <mergeCell ref="E186:G186"/>
    <mergeCell ref="B186:D186"/>
    <mergeCell ref="L3:M3"/>
    <mergeCell ref="O3:P3"/>
    <mergeCell ref="N5:N7"/>
    <mergeCell ref="O5:O7"/>
    <mergeCell ref="P5:P7"/>
    <mergeCell ref="E6:E7"/>
    <mergeCell ref="F6:F7"/>
    <mergeCell ref="K5:K7"/>
    <mergeCell ref="L5:L7"/>
    <mergeCell ref="M5:M7"/>
    <mergeCell ref="H5:H7"/>
    <mergeCell ref="B182:D182"/>
    <mergeCell ref="B187:D187"/>
    <mergeCell ref="E177:G177"/>
    <mergeCell ref="B177:D177"/>
    <mergeCell ref="F10:F12"/>
    <mergeCell ref="G10:G12"/>
    <mergeCell ref="F22:F24"/>
    <mergeCell ref="G22:G24"/>
    <mergeCell ref="E166:E168"/>
    <mergeCell ref="F166:F168"/>
    <mergeCell ref="G154:G156"/>
    <mergeCell ref="E160:E162"/>
    <mergeCell ref="D22:D24"/>
    <mergeCell ref="E22:E24"/>
    <mergeCell ref="E25:E27"/>
    <mergeCell ref="F25:F27"/>
    <mergeCell ref="G25:G27"/>
    <mergeCell ref="D160:D162"/>
    <mergeCell ref="C172:C174"/>
    <mergeCell ref="D172:D174"/>
    <mergeCell ref="E172:E174"/>
    <mergeCell ref="F172:F174"/>
    <mergeCell ref="G172:G174"/>
    <mergeCell ref="C160:C162"/>
    <mergeCell ref="A103:A105"/>
    <mergeCell ref="C103:C105"/>
    <mergeCell ref="D103:D105"/>
    <mergeCell ref="E103:E105"/>
    <mergeCell ref="F103:F105"/>
    <mergeCell ref="G103:G105"/>
    <mergeCell ref="I103:I105"/>
    <mergeCell ref="L103:L105"/>
    <mergeCell ref="A109:A111"/>
    <mergeCell ref="C109:C111"/>
    <mergeCell ref="D109:D111"/>
    <mergeCell ref="E109:E111"/>
    <mergeCell ref="F109:F111"/>
    <mergeCell ref="G109:G111"/>
    <mergeCell ref="I109:I111"/>
    <mergeCell ref="L109:L111"/>
    <mergeCell ref="E106:E108"/>
  </mergeCells>
  <conditionalFormatting sqref="A213:A65653 A154:A176 A94:A102 A5:A7 A92 A106:A108 A152">
    <cfRule type="duplicateValues" dxfId="197" priority="165" stopIfTrue="1"/>
    <cfRule type="duplicateValues" dxfId="196" priority="166" stopIfTrue="1"/>
  </conditionalFormatting>
  <conditionalFormatting sqref="A10:A15">
    <cfRule type="duplicateValues" dxfId="195" priority="142" stopIfTrue="1"/>
    <cfRule type="duplicateValues" dxfId="194" priority="143" stopIfTrue="1"/>
  </conditionalFormatting>
  <conditionalFormatting sqref="A16:A21">
    <cfRule type="duplicateValues" dxfId="193" priority="140" stopIfTrue="1"/>
    <cfRule type="duplicateValues" dxfId="192" priority="141" stopIfTrue="1"/>
  </conditionalFormatting>
  <conditionalFormatting sqref="A22:A24">
    <cfRule type="duplicateValues" dxfId="191" priority="138" stopIfTrue="1"/>
    <cfRule type="duplicateValues" dxfId="190" priority="139" stopIfTrue="1"/>
  </conditionalFormatting>
  <conditionalFormatting sqref="A8">
    <cfRule type="duplicateValues" dxfId="189" priority="348" stopIfTrue="1"/>
    <cfRule type="duplicateValues" dxfId="188" priority="349" stopIfTrue="1"/>
  </conditionalFormatting>
  <conditionalFormatting sqref="A197">
    <cfRule type="duplicateValues" dxfId="187" priority="123" stopIfTrue="1"/>
  </conditionalFormatting>
  <conditionalFormatting sqref="A196">
    <cfRule type="duplicateValues" dxfId="186" priority="127" stopIfTrue="1"/>
  </conditionalFormatting>
  <conditionalFormatting sqref="A192:A194">
    <cfRule type="duplicateValues" dxfId="185" priority="122" stopIfTrue="1"/>
  </conditionalFormatting>
  <conditionalFormatting sqref="A204:A205 A192:A194 A196:A199">
    <cfRule type="duplicateValues" dxfId="184" priority="120" stopIfTrue="1"/>
    <cfRule type="duplicateValues" dxfId="183" priority="121" stopIfTrue="1"/>
  </conditionalFormatting>
  <conditionalFormatting sqref="A177">
    <cfRule type="duplicateValues" dxfId="182" priority="117" stopIfTrue="1"/>
    <cfRule type="duplicateValues" dxfId="181" priority="118" stopIfTrue="1"/>
  </conditionalFormatting>
  <conditionalFormatting sqref="A177">
    <cfRule type="duplicateValues" dxfId="180" priority="119" stopIfTrue="1"/>
  </conditionalFormatting>
  <conditionalFormatting sqref="A178">
    <cfRule type="duplicateValues" dxfId="179" priority="116" stopIfTrue="1"/>
  </conditionalFormatting>
  <conditionalFormatting sqref="A178">
    <cfRule type="duplicateValues" dxfId="178" priority="114" stopIfTrue="1"/>
    <cfRule type="duplicateValues" dxfId="177" priority="115" stopIfTrue="1"/>
  </conditionalFormatting>
  <conditionalFormatting sqref="A179">
    <cfRule type="duplicateValues" dxfId="176" priority="113" stopIfTrue="1"/>
  </conditionalFormatting>
  <conditionalFormatting sqref="A181">
    <cfRule type="duplicateValues" dxfId="175" priority="110" stopIfTrue="1"/>
    <cfRule type="duplicateValues" dxfId="174" priority="111" stopIfTrue="1"/>
  </conditionalFormatting>
  <conditionalFormatting sqref="A181">
    <cfRule type="duplicateValues" dxfId="173" priority="112" stopIfTrue="1"/>
  </conditionalFormatting>
  <conditionalFormatting sqref="A204:A205 A198:A199">
    <cfRule type="duplicateValues" dxfId="172" priority="128" stopIfTrue="1"/>
  </conditionalFormatting>
  <conditionalFormatting sqref="A202:A203">
    <cfRule type="duplicateValues" dxfId="171" priority="106" stopIfTrue="1"/>
  </conditionalFormatting>
  <conditionalFormatting sqref="A180">
    <cfRule type="duplicateValues" dxfId="170" priority="102" stopIfTrue="1"/>
  </conditionalFormatting>
  <conditionalFormatting sqref="A191">
    <cfRule type="duplicateValues" dxfId="169" priority="101" stopIfTrue="1"/>
  </conditionalFormatting>
  <conditionalFormatting sqref="A182:A190">
    <cfRule type="duplicateValues" dxfId="168" priority="448" stopIfTrue="1"/>
  </conditionalFormatting>
  <conditionalFormatting sqref="A195">
    <cfRule type="duplicateValues" dxfId="167" priority="469" stopIfTrue="1"/>
  </conditionalFormatting>
  <conditionalFormatting sqref="A200:A201">
    <cfRule type="duplicateValues" dxfId="166" priority="483" stopIfTrue="1"/>
    <cfRule type="duplicateValues" dxfId="165" priority="484" stopIfTrue="1"/>
  </conditionalFormatting>
  <conditionalFormatting sqref="A200:A201">
    <cfRule type="duplicateValues" dxfId="164" priority="487" stopIfTrue="1"/>
  </conditionalFormatting>
  <conditionalFormatting sqref="A103:A105">
    <cfRule type="duplicateValues" dxfId="163" priority="69" stopIfTrue="1"/>
    <cfRule type="duplicateValues" dxfId="162" priority="70" stopIfTrue="1"/>
  </conditionalFormatting>
  <conditionalFormatting sqref="A60">
    <cfRule type="duplicateValues" dxfId="161" priority="65" stopIfTrue="1"/>
    <cfRule type="duplicateValues" dxfId="160" priority="66" stopIfTrue="1"/>
  </conditionalFormatting>
  <conditionalFormatting sqref="A62:A64">
    <cfRule type="duplicateValues" dxfId="159" priority="63" stopIfTrue="1"/>
    <cfRule type="duplicateValues" dxfId="158" priority="64" stopIfTrue="1"/>
  </conditionalFormatting>
  <conditionalFormatting sqref="A65:A67">
    <cfRule type="duplicateValues" dxfId="157" priority="61" stopIfTrue="1"/>
    <cfRule type="duplicateValues" dxfId="156" priority="62" stopIfTrue="1"/>
  </conditionalFormatting>
  <conditionalFormatting sqref="A68:A70">
    <cfRule type="duplicateValues" dxfId="155" priority="59" stopIfTrue="1"/>
    <cfRule type="duplicateValues" dxfId="154" priority="60" stopIfTrue="1"/>
  </conditionalFormatting>
  <conditionalFormatting sqref="A71:A73">
    <cfRule type="duplicateValues" dxfId="153" priority="57" stopIfTrue="1"/>
    <cfRule type="duplicateValues" dxfId="152" priority="58" stopIfTrue="1"/>
  </conditionalFormatting>
  <conditionalFormatting sqref="A80:A82">
    <cfRule type="duplicateValues" dxfId="151" priority="53" stopIfTrue="1"/>
    <cfRule type="duplicateValues" dxfId="150" priority="54" stopIfTrue="1"/>
  </conditionalFormatting>
  <conditionalFormatting sqref="A86:A88">
    <cfRule type="duplicateValues" dxfId="149" priority="51" stopIfTrue="1"/>
    <cfRule type="duplicateValues" dxfId="148" priority="52" stopIfTrue="1"/>
  </conditionalFormatting>
  <conditionalFormatting sqref="A77:A79">
    <cfRule type="duplicateValues" dxfId="147" priority="49" stopIfTrue="1"/>
    <cfRule type="duplicateValues" dxfId="146" priority="50" stopIfTrue="1"/>
  </conditionalFormatting>
  <conditionalFormatting sqref="A74:A76">
    <cfRule type="duplicateValues" dxfId="145" priority="507" stopIfTrue="1"/>
    <cfRule type="duplicateValues" dxfId="144" priority="508" stopIfTrue="1"/>
  </conditionalFormatting>
  <conditionalFormatting sqref="A83:A85">
    <cfRule type="duplicateValues" dxfId="143" priority="47" stopIfTrue="1"/>
    <cfRule type="duplicateValues" dxfId="142" priority="48" stopIfTrue="1"/>
  </conditionalFormatting>
  <conditionalFormatting sqref="A89:A91">
    <cfRule type="duplicateValues" dxfId="141" priority="45" stopIfTrue="1"/>
    <cfRule type="duplicateValues" dxfId="140" priority="46" stopIfTrue="1"/>
  </conditionalFormatting>
  <conditionalFormatting sqref="A28">
    <cfRule type="duplicateValues" dxfId="139" priority="43" stopIfTrue="1"/>
    <cfRule type="duplicateValues" dxfId="138" priority="44" stopIfTrue="1"/>
  </conditionalFormatting>
  <conditionalFormatting sqref="A30:A32">
    <cfRule type="duplicateValues" dxfId="137" priority="37" stopIfTrue="1"/>
    <cfRule type="duplicateValues" dxfId="136" priority="38" stopIfTrue="1"/>
  </conditionalFormatting>
  <conditionalFormatting sqref="A33:A35">
    <cfRule type="duplicateValues" dxfId="135" priority="35" stopIfTrue="1"/>
    <cfRule type="duplicateValues" dxfId="134" priority="36" stopIfTrue="1"/>
  </conditionalFormatting>
  <conditionalFormatting sqref="A36:A38">
    <cfRule type="duplicateValues" dxfId="133" priority="33" stopIfTrue="1"/>
    <cfRule type="duplicateValues" dxfId="132" priority="34" stopIfTrue="1"/>
  </conditionalFormatting>
  <conditionalFormatting sqref="A39:A41">
    <cfRule type="duplicateValues" dxfId="131" priority="31" stopIfTrue="1"/>
    <cfRule type="duplicateValues" dxfId="130" priority="32" stopIfTrue="1"/>
  </conditionalFormatting>
  <conditionalFormatting sqref="A48:A50">
    <cfRule type="duplicateValues" dxfId="129" priority="29" stopIfTrue="1"/>
    <cfRule type="duplicateValues" dxfId="128" priority="30" stopIfTrue="1"/>
  </conditionalFormatting>
  <conditionalFormatting sqref="A54:A56">
    <cfRule type="duplicateValues" dxfId="127" priority="27" stopIfTrue="1"/>
    <cfRule type="duplicateValues" dxfId="126" priority="28" stopIfTrue="1"/>
  </conditionalFormatting>
  <conditionalFormatting sqref="A45:A47">
    <cfRule type="duplicateValues" dxfId="125" priority="25" stopIfTrue="1"/>
    <cfRule type="duplicateValues" dxfId="124" priority="26" stopIfTrue="1"/>
  </conditionalFormatting>
  <conditionalFormatting sqref="A42:A44">
    <cfRule type="duplicateValues" dxfId="123" priority="39" stopIfTrue="1"/>
    <cfRule type="duplicateValues" dxfId="122" priority="40" stopIfTrue="1"/>
  </conditionalFormatting>
  <conditionalFormatting sqref="A51:A53">
    <cfRule type="duplicateValues" dxfId="121" priority="23" stopIfTrue="1"/>
    <cfRule type="duplicateValues" dxfId="120" priority="24" stopIfTrue="1"/>
  </conditionalFormatting>
  <conditionalFormatting sqref="A57:A59">
    <cfRule type="duplicateValues" dxfId="119" priority="21" stopIfTrue="1"/>
    <cfRule type="duplicateValues" dxfId="118" priority="22" stopIfTrue="1"/>
  </conditionalFormatting>
  <conditionalFormatting sqref="A25:A27">
    <cfRule type="duplicateValues" dxfId="117" priority="521" stopIfTrue="1"/>
    <cfRule type="duplicateValues" dxfId="116" priority="522" stopIfTrue="1"/>
  </conditionalFormatting>
  <conditionalFormatting sqref="A112">
    <cfRule type="duplicateValues" dxfId="115" priority="19" stopIfTrue="1"/>
    <cfRule type="duplicateValues" dxfId="114" priority="20" stopIfTrue="1"/>
  </conditionalFormatting>
  <conditionalFormatting sqref="A117:A128">
    <cfRule type="duplicateValues" dxfId="113" priority="17" stopIfTrue="1"/>
    <cfRule type="duplicateValues" dxfId="112" priority="18" stopIfTrue="1"/>
  </conditionalFormatting>
  <conditionalFormatting sqref="A114:A116">
    <cfRule type="duplicateValues" dxfId="111" priority="11" stopIfTrue="1"/>
    <cfRule type="duplicateValues" dxfId="110" priority="12" stopIfTrue="1"/>
  </conditionalFormatting>
  <conditionalFormatting sqref="A129:A131">
    <cfRule type="duplicateValues" dxfId="109" priority="9" stopIfTrue="1"/>
    <cfRule type="duplicateValues" dxfId="108" priority="10" stopIfTrue="1"/>
  </conditionalFormatting>
  <conditionalFormatting sqref="A132">
    <cfRule type="duplicateValues" dxfId="107" priority="7" stopIfTrue="1"/>
    <cfRule type="duplicateValues" dxfId="106" priority="8" stopIfTrue="1"/>
  </conditionalFormatting>
  <conditionalFormatting sqref="A137:A148">
    <cfRule type="duplicateValues" dxfId="105" priority="5" stopIfTrue="1"/>
    <cfRule type="duplicateValues" dxfId="104" priority="6" stopIfTrue="1"/>
  </conditionalFormatting>
  <conditionalFormatting sqref="A134:A136">
    <cfRule type="duplicateValues" dxfId="103" priority="3" stopIfTrue="1"/>
    <cfRule type="duplicateValues" dxfId="102" priority="4" stopIfTrue="1"/>
  </conditionalFormatting>
  <conditionalFormatting sqref="A149:A151">
    <cfRule type="duplicateValues" dxfId="101" priority="1" stopIfTrue="1"/>
    <cfRule type="duplicateValues" dxfId="100" priority="2" stopIfTrue="1"/>
  </conditionalFormatting>
  <conditionalFormatting sqref="A109:A111">
    <cfRule type="duplicateValues" dxfId="99" priority="540" stopIfTrue="1"/>
    <cfRule type="duplicateValues" dxfId="98" priority="541" stopIfTrue="1"/>
  </conditionalFormatting>
  <hyperlinks>
    <hyperlink ref="A207" r:id="rId2" display="www.general-russia.ru"/>
  </hyperlinks>
  <pageMargins left="0.70866141732283472" right="0.70866141732283472" top="0.74803149606299213" bottom="0.74803149606299213" header="0.31496062992125984" footer="0.31496062992125984"/>
  <pageSetup paperSize="9" scale="40" orientation="portrait" r:id="rId3"/>
  <rowBreaks count="1" manualBreakCount="1">
    <brk id="174" max="18" man="1"/>
  </row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F425"/>
  <sheetViews>
    <sheetView zoomScale="70" zoomScaleNormal="70" zoomScaleSheetLayoutView="75" workbookViewId="0">
      <pane ySplit="6" topLeftCell="A7" activePane="bottomLeft" state="frozen"/>
      <selection pane="bottomLeft"/>
    </sheetView>
  </sheetViews>
  <sheetFormatPr defaultColWidth="9.08984375" defaultRowHeight="12.5"/>
  <cols>
    <col min="1" max="1" width="27.54296875" style="7" customWidth="1"/>
    <col min="2" max="2" width="21.36328125" style="7" customWidth="1"/>
    <col min="3" max="3" width="10.6328125" style="7" customWidth="1"/>
    <col min="4" max="4" width="10.54296875" style="7" customWidth="1"/>
    <col min="5" max="6" width="13.08984375" style="7" customWidth="1"/>
    <col min="7" max="7" width="12.54296875" style="21" customWidth="1"/>
    <col min="8" max="9" width="11.36328125" style="7" customWidth="1"/>
    <col min="10" max="11" width="9.08984375" style="7"/>
    <col min="12" max="12" width="11.36328125" style="7" customWidth="1"/>
    <col min="13" max="13" width="11.08984375" style="7" customWidth="1"/>
    <col min="14" max="14" width="9.08984375" style="7"/>
    <col min="15" max="15" width="16.453125" style="7" customWidth="1"/>
    <col min="16" max="16" width="9.08984375" style="7"/>
    <col min="17" max="17" width="13.08984375" style="7" customWidth="1"/>
    <col min="18" max="52" width="9.08984375" style="57" customWidth="1"/>
    <col min="53" max="16384" width="9.08984375" style="7"/>
  </cols>
  <sheetData>
    <row r="1" spans="1:56" ht="53.25" customHeight="1">
      <c r="A1" s="385"/>
      <c r="B1" s="386"/>
      <c r="C1" s="387"/>
      <c r="D1" s="386"/>
      <c r="E1" s="388"/>
      <c r="F1" s="386"/>
      <c r="G1" s="389"/>
      <c r="H1" s="386"/>
      <c r="I1" s="386"/>
      <c r="J1" s="386"/>
      <c r="K1" s="390"/>
      <c r="L1" s="390"/>
      <c r="M1" s="390"/>
      <c r="N1" s="390"/>
      <c r="O1" s="406"/>
      <c r="P1" s="391" t="s">
        <v>511</v>
      </c>
      <c r="Q1" s="407"/>
      <c r="AW1" s="7"/>
      <c r="AX1" s="7"/>
      <c r="AY1" s="7"/>
      <c r="AZ1" s="7"/>
    </row>
    <row r="2" spans="1:56" ht="15.75" customHeight="1" thickBot="1">
      <c r="A2" s="393"/>
      <c r="B2" s="203"/>
      <c r="C2" s="204"/>
      <c r="D2" s="203"/>
      <c r="E2" s="209"/>
      <c r="F2" s="203"/>
      <c r="G2" s="210"/>
      <c r="H2" s="203"/>
      <c r="I2" s="203"/>
      <c r="J2" s="203"/>
      <c r="K2" s="206"/>
      <c r="L2" s="206"/>
      <c r="M2" s="207"/>
      <c r="N2" s="215"/>
      <c r="O2" s="216"/>
      <c r="P2" s="349"/>
      <c r="Q2" s="408"/>
      <c r="AW2" s="7"/>
      <c r="AX2" s="7"/>
      <c r="AY2" s="7"/>
      <c r="AZ2" s="7"/>
    </row>
    <row r="3" spans="1:56" ht="18.75" customHeight="1" thickBot="1">
      <c r="A3" s="395"/>
      <c r="B3" s="70"/>
      <c r="C3" s="327" t="s">
        <v>1289</v>
      </c>
      <c r="D3" s="169">
        <v>0.35</v>
      </c>
      <c r="E3" s="132"/>
      <c r="F3" s="133" t="s">
        <v>480</v>
      </c>
      <c r="G3" s="133"/>
      <c r="H3" s="686"/>
      <c r="I3" s="686"/>
      <c r="J3" s="687"/>
      <c r="K3" s="322">
        <f>SUM(N10:N182)</f>
        <v>0</v>
      </c>
      <c r="L3" s="570" t="s">
        <v>900</v>
      </c>
      <c r="M3" s="570"/>
      <c r="N3" s="134">
        <f>SUMPRODUCT(J10:J182,P10:P182)</f>
        <v>0</v>
      </c>
      <c r="O3" s="570" t="s">
        <v>478</v>
      </c>
      <c r="P3" s="570"/>
      <c r="Q3" s="396">
        <f>SUMPRODUCT(J10:J182,Q10:Q182)</f>
        <v>0</v>
      </c>
      <c r="AW3" s="7"/>
      <c r="AX3" s="7"/>
      <c r="AY3" s="7"/>
      <c r="AZ3" s="7"/>
    </row>
    <row r="4" spans="1:56" s="56" customFormat="1" ht="8.4" customHeight="1">
      <c r="A4" s="397"/>
      <c r="B4" s="191"/>
      <c r="C4" s="117"/>
      <c r="D4" s="192"/>
      <c r="E4" s="192"/>
      <c r="F4" s="192"/>
      <c r="G4" s="192"/>
      <c r="H4" s="193"/>
      <c r="I4" s="193"/>
      <c r="J4" s="117"/>
      <c r="K4" s="117"/>
      <c r="L4" s="117"/>
      <c r="M4" s="117"/>
      <c r="N4" s="117"/>
      <c r="O4" s="117"/>
      <c r="P4" s="117"/>
      <c r="Q4" s="398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</row>
    <row r="5" spans="1:56" ht="25.25" customHeight="1">
      <c r="A5" s="634" t="s">
        <v>47</v>
      </c>
      <c r="B5" s="343" t="s">
        <v>26</v>
      </c>
      <c r="C5" s="577" t="s">
        <v>48</v>
      </c>
      <c r="D5" s="577"/>
      <c r="E5" s="577" t="s">
        <v>85</v>
      </c>
      <c r="F5" s="577"/>
      <c r="G5" s="571" t="s">
        <v>492</v>
      </c>
      <c r="H5" s="578" t="s">
        <v>493</v>
      </c>
      <c r="I5" s="636" t="s">
        <v>740</v>
      </c>
      <c r="J5" s="580" t="s">
        <v>28</v>
      </c>
      <c r="K5" s="561" t="s">
        <v>22</v>
      </c>
      <c r="L5" s="559" t="s">
        <v>490</v>
      </c>
      <c r="M5" s="573" t="s">
        <v>491</v>
      </c>
      <c r="N5" s="559" t="s">
        <v>27</v>
      </c>
      <c r="O5" s="572" t="s">
        <v>318</v>
      </c>
      <c r="P5" s="572" t="s">
        <v>23</v>
      </c>
      <c r="Q5" s="635" t="s">
        <v>24</v>
      </c>
    </row>
    <row r="6" spans="1:56" ht="25.25" customHeight="1">
      <c r="A6" s="634"/>
      <c r="B6" s="343" t="s">
        <v>25</v>
      </c>
      <c r="C6" s="344" t="s">
        <v>49</v>
      </c>
      <c r="D6" s="344" t="s">
        <v>50</v>
      </c>
      <c r="E6" s="344" t="s">
        <v>86</v>
      </c>
      <c r="F6" s="344" t="s">
        <v>87</v>
      </c>
      <c r="G6" s="571"/>
      <c r="H6" s="578"/>
      <c r="I6" s="636"/>
      <c r="J6" s="580"/>
      <c r="K6" s="561"/>
      <c r="L6" s="559"/>
      <c r="M6" s="573"/>
      <c r="N6" s="559"/>
      <c r="O6" s="572"/>
      <c r="P6" s="572"/>
      <c r="Q6" s="635"/>
    </row>
    <row r="7" spans="1:56" ht="41.25" customHeight="1">
      <c r="A7" s="652" t="s">
        <v>1016</v>
      </c>
      <c r="B7" s="653"/>
      <c r="C7" s="653"/>
      <c r="D7" s="653"/>
      <c r="E7" s="653"/>
      <c r="F7" s="653"/>
      <c r="G7" s="653"/>
      <c r="H7" s="653"/>
      <c r="I7" s="653"/>
      <c r="J7" s="653"/>
      <c r="K7" s="653"/>
      <c r="L7" s="653"/>
      <c r="M7" s="653"/>
      <c r="N7" s="149"/>
      <c r="O7" s="150"/>
      <c r="P7" s="150"/>
      <c r="Q7" s="399"/>
      <c r="S7" s="92"/>
      <c r="T7" s="92"/>
      <c r="U7" s="92"/>
      <c r="BA7" s="56"/>
      <c r="BB7" s="56"/>
      <c r="BC7" s="56"/>
      <c r="BD7" s="56"/>
    </row>
    <row r="8" spans="1:56" ht="30" customHeight="1">
      <c r="A8" s="537" t="s">
        <v>158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9"/>
      <c r="S8" s="92"/>
      <c r="T8" s="92"/>
      <c r="U8" s="92"/>
    </row>
    <row r="9" spans="1:56" s="73" customFormat="1" ht="19.5" customHeight="1">
      <c r="A9" s="669" t="s">
        <v>495</v>
      </c>
      <c r="B9" s="670"/>
      <c r="C9" s="670"/>
      <c r="D9" s="670"/>
      <c r="E9" s="670"/>
      <c r="F9" s="670"/>
      <c r="G9" s="670"/>
      <c r="H9" s="670"/>
      <c r="I9" s="670"/>
      <c r="J9" s="670"/>
      <c r="K9" s="670"/>
      <c r="L9" s="670"/>
      <c r="M9" s="670"/>
      <c r="N9" s="137"/>
      <c r="O9" s="138"/>
      <c r="P9" s="138"/>
      <c r="Q9" s="377"/>
      <c r="R9" s="57"/>
      <c r="S9" s="92"/>
      <c r="T9" s="92"/>
      <c r="U9" s="92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56" ht="15" customHeight="1">
      <c r="A10" s="530" t="s">
        <v>394</v>
      </c>
      <c r="B10" s="143" t="s">
        <v>67</v>
      </c>
      <c r="C10" s="535" t="s">
        <v>124</v>
      </c>
      <c r="D10" s="535" t="s">
        <v>125</v>
      </c>
      <c r="E10" s="535" t="s">
        <v>131</v>
      </c>
      <c r="F10" s="535" t="s">
        <v>141</v>
      </c>
      <c r="G10" s="663">
        <f>H10+H11</f>
        <v>1795</v>
      </c>
      <c r="H10" s="146">
        <v>983</v>
      </c>
      <c r="I10" s="532">
        <v>121400</v>
      </c>
      <c r="J10" s="160"/>
      <c r="K10" s="145">
        <f t="shared" ref="K10:K15" si="0">$D$3</f>
        <v>0.35</v>
      </c>
      <c r="L10" s="550">
        <f>SUM(G10-(G10*K10))</f>
        <v>1166.75</v>
      </c>
      <c r="M10" s="146">
        <f t="shared" ref="M10:M15" si="1">SUM(H10-(H10*K10))</f>
        <v>638.95000000000005</v>
      </c>
      <c r="N10" s="358">
        <f t="shared" ref="N10:N15" si="2">J10*M10</f>
        <v>0</v>
      </c>
      <c r="O10" s="338" t="s">
        <v>344</v>
      </c>
      <c r="P10" s="336">
        <v>0.23</v>
      </c>
      <c r="Q10" s="370">
        <v>26</v>
      </c>
      <c r="S10" s="92"/>
      <c r="T10" s="92"/>
      <c r="U10" s="92"/>
      <c r="BA10" s="56"/>
      <c r="BB10" s="56"/>
      <c r="BC10" s="56"/>
      <c r="BD10" s="56"/>
    </row>
    <row r="11" spans="1:56" ht="15" customHeight="1">
      <c r="A11" s="531"/>
      <c r="B11" s="143" t="s">
        <v>62</v>
      </c>
      <c r="C11" s="536"/>
      <c r="D11" s="536"/>
      <c r="E11" s="535"/>
      <c r="F11" s="535"/>
      <c r="G11" s="664"/>
      <c r="H11" s="146">
        <v>812</v>
      </c>
      <c r="I11" s="532"/>
      <c r="J11" s="160"/>
      <c r="K11" s="145">
        <f t="shared" si="0"/>
        <v>0.35</v>
      </c>
      <c r="L11" s="550"/>
      <c r="M11" s="146">
        <f t="shared" si="1"/>
        <v>527.79999999999995</v>
      </c>
      <c r="N11" s="358">
        <f t="shared" si="2"/>
        <v>0</v>
      </c>
      <c r="O11" s="338" t="s">
        <v>319</v>
      </c>
      <c r="P11" s="336">
        <v>0.249</v>
      </c>
      <c r="Q11" s="370">
        <v>44</v>
      </c>
      <c r="S11" s="92"/>
      <c r="T11" s="92"/>
      <c r="U11" s="92"/>
      <c r="BA11" s="56"/>
      <c r="BB11" s="56"/>
      <c r="BC11" s="56"/>
      <c r="BD11" s="56"/>
    </row>
    <row r="12" spans="1:56" ht="15" customHeight="1">
      <c r="A12" s="530" t="s">
        <v>395</v>
      </c>
      <c r="B12" s="135" t="s">
        <v>68</v>
      </c>
      <c r="C12" s="555" t="s">
        <v>126</v>
      </c>
      <c r="D12" s="555" t="s">
        <v>127</v>
      </c>
      <c r="E12" s="555" t="s">
        <v>89</v>
      </c>
      <c r="F12" s="555" t="s">
        <v>142</v>
      </c>
      <c r="G12" s="663">
        <f>H12+H13</f>
        <v>2053</v>
      </c>
      <c r="H12" s="146">
        <v>1144</v>
      </c>
      <c r="I12" s="532">
        <v>138900</v>
      </c>
      <c r="J12" s="160"/>
      <c r="K12" s="145">
        <f t="shared" si="0"/>
        <v>0.35</v>
      </c>
      <c r="L12" s="550">
        <f>SUM(G12-(G12*K12))</f>
        <v>1334.45</v>
      </c>
      <c r="M12" s="146">
        <f t="shared" si="1"/>
        <v>743.6</v>
      </c>
      <c r="N12" s="358">
        <f t="shared" si="2"/>
        <v>0</v>
      </c>
      <c r="O12" s="338" t="s">
        <v>344</v>
      </c>
      <c r="P12" s="336">
        <v>0.23</v>
      </c>
      <c r="Q12" s="370">
        <v>26</v>
      </c>
      <c r="S12" s="92"/>
      <c r="T12" s="92"/>
      <c r="U12" s="92"/>
      <c r="BA12" s="56"/>
      <c r="BB12" s="56"/>
      <c r="BC12" s="56"/>
      <c r="BD12" s="56"/>
    </row>
    <row r="13" spans="1:56" ht="15" customHeight="1">
      <c r="A13" s="531"/>
      <c r="B13" s="135" t="s">
        <v>64</v>
      </c>
      <c r="C13" s="662"/>
      <c r="D13" s="662"/>
      <c r="E13" s="555"/>
      <c r="F13" s="555"/>
      <c r="G13" s="664"/>
      <c r="H13" s="146">
        <v>909</v>
      </c>
      <c r="I13" s="532"/>
      <c r="J13" s="160"/>
      <c r="K13" s="145">
        <f t="shared" si="0"/>
        <v>0.35</v>
      </c>
      <c r="L13" s="550"/>
      <c r="M13" s="146">
        <f t="shared" si="1"/>
        <v>590.85</v>
      </c>
      <c r="N13" s="358">
        <f t="shared" si="2"/>
        <v>0</v>
      </c>
      <c r="O13" s="338" t="s">
        <v>319</v>
      </c>
      <c r="P13" s="336">
        <v>0.249</v>
      </c>
      <c r="Q13" s="367">
        <v>44</v>
      </c>
      <c r="S13" s="92"/>
      <c r="T13" s="92"/>
      <c r="U13" s="92"/>
      <c r="BA13" s="56"/>
      <c r="BB13" s="56"/>
      <c r="BC13" s="56"/>
      <c r="BD13" s="56"/>
    </row>
    <row r="14" spans="1:56" ht="15" customHeight="1">
      <c r="A14" s="530" t="s">
        <v>396</v>
      </c>
      <c r="B14" s="135" t="s">
        <v>69</v>
      </c>
      <c r="C14" s="555" t="s">
        <v>128</v>
      </c>
      <c r="D14" s="555" t="s">
        <v>129</v>
      </c>
      <c r="E14" s="555" t="s">
        <v>89</v>
      </c>
      <c r="F14" s="555" t="s">
        <v>116</v>
      </c>
      <c r="G14" s="663">
        <f>H14+H15</f>
        <v>2056</v>
      </c>
      <c r="H14" s="146">
        <v>1092</v>
      </c>
      <c r="I14" s="532">
        <v>139100</v>
      </c>
      <c r="J14" s="160"/>
      <c r="K14" s="145">
        <f t="shared" si="0"/>
        <v>0.35</v>
      </c>
      <c r="L14" s="550">
        <f>SUM(G14-(G14*K14))</f>
        <v>1336.4</v>
      </c>
      <c r="M14" s="146">
        <f t="shared" si="1"/>
        <v>709.8</v>
      </c>
      <c r="N14" s="358">
        <f t="shared" si="2"/>
        <v>0</v>
      </c>
      <c r="O14" s="338" t="s">
        <v>544</v>
      </c>
      <c r="P14" s="336">
        <v>0.23799999999999999</v>
      </c>
      <c r="Q14" s="367">
        <v>29</v>
      </c>
      <c r="S14" s="92"/>
      <c r="T14" s="92"/>
      <c r="U14" s="92"/>
      <c r="BA14" s="56"/>
      <c r="BB14" s="56"/>
      <c r="BC14" s="56"/>
      <c r="BD14" s="56"/>
    </row>
    <row r="15" spans="1:56" ht="15" customHeight="1">
      <c r="A15" s="531"/>
      <c r="B15" s="135" t="s">
        <v>802</v>
      </c>
      <c r="C15" s="662"/>
      <c r="D15" s="662"/>
      <c r="E15" s="555"/>
      <c r="F15" s="555"/>
      <c r="G15" s="664"/>
      <c r="H15" s="146">
        <v>964</v>
      </c>
      <c r="I15" s="532"/>
      <c r="J15" s="160"/>
      <c r="K15" s="145">
        <f t="shared" si="0"/>
        <v>0.35</v>
      </c>
      <c r="L15" s="550"/>
      <c r="M15" s="146">
        <f t="shared" si="1"/>
        <v>626.6</v>
      </c>
      <c r="N15" s="358">
        <f t="shared" si="2"/>
        <v>0</v>
      </c>
      <c r="O15" s="338" t="s">
        <v>319</v>
      </c>
      <c r="P15" s="336">
        <v>0.249</v>
      </c>
      <c r="Q15" s="367">
        <v>44</v>
      </c>
      <c r="S15" s="92"/>
      <c r="T15" s="92"/>
      <c r="U15" s="92"/>
      <c r="BA15" s="56"/>
      <c r="BB15" s="56"/>
      <c r="BC15" s="56"/>
      <c r="BD15" s="56"/>
    </row>
    <row r="16" spans="1:56" ht="41.25" customHeight="1">
      <c r="A16" s="652" t="s">
        <v>1290</v>
      </c>
      <c r="B16" s="653"/>
      <c r="C16" s="653"/>
      <c r="D16" s="653"/>
      <c r="E16" s="653"/>
      <c r="F16" s="653"/>
      <c r="G16" s="653"/>
      <c r="H16" s="653"/>
      <c r="I16" s="653"/>
      <c r="J16" s="653"/>
      <c r="K16" s="653"/>
      <c r="L16" s="653"/>
      <c r="M16" s="653"/>
      <c r="N16" s="149"/>
      <c r="O16" s="150"/>
      <c r="P16" s="150"/>
      <c r="Q16" s="399"/>
      <c r="S16" s="92"/>
      <c r="T16" s="92"/>
      <c r="U16" s="92"/>
      <c r="BA16" s="56"/>
      <c r="BB16" s="56"/>
      <c r="BC16" s="56"/>
      <c r="BD16" s="56"/>
    </row>
    <row r="17" spans="1:56" ht="30" customHeight="1">
      <c r="A17" s="537" t="s">
        <v>158</v>
      </c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8"/>
      <c r="Q17" s="539"/>
      <c r="S17" s="92"/>
      <c r="T17" s="92"/>
      <c r="U17" s="92"/>
    </row>
    <row r="18" spans="1:56" s="73" customFormat="1" ht="19.5" customHeight="1">
      <c r="A18" s="669" t="s">
        <v>495</v>
      </c>
      <c r="B18" s="670"/>
      <c r="C18" s="670"/>
      <c r="D18" s="670"/>
      <c r="E18" s="670"/>
      <c r="F18" s="670"/>
      <c r="G18" s="670"/>
      <c r="H18" s="670"/>
      <c r="I18" s="670"/>
      <c r="J18" s="670"/>
      <c r="K18" s="670"/>
      <c r="L18" s="670"/>
      <c r="M18" s="670"/>
      <c r="N18" s="137"/>
      <c r="O18" s="138"/>
      <c r="P18" s="138"/>
      <c r="Q18" s="377"/>
      <c r="R18" s="57"/>
      <c r="S18" s="92"/>
      <c r="T18" s="92"/>
      <c r="U18" s="92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</row>
    <row r="19" spans="1:56" ht="15" customHeight="1">
      <c r="A19" s="530" t="s">
        <v>1291</v>
      </c>
      <c r="B19" s="143" t="s">
        <v>1295</v>
      </c>
      <c r="C19" s="535" t="s">
        <v>1299</v>
      </c>
      <c r="D19" s="535" t="s">
        <v>1300</v>
      </c>
      <c r="E19" s="535" t="s">
        <v>1105</v>
      </c>
      <c r="F19" s="535" t="s">
        <v>629</v>
      </c>
      <c r="G19" s="663">
        <f>H19+H20</f>
        <v>1595</v>
      </c>
      <c r="H19" s="146">
        <v>765</v>
      </c>
      <c r="I19" s="532">
        <v>108000</v>
      </c>
      <c r="J19" s="160"/>
      <c r="K19" s="145">
        <f t="shared" ref="K19:K26" si="3">$D$3</f>
        <v>0.35</v>
      </c>
      <c r="L19" s="550">
        <f>SUM(G19-(G19*K19))</f>
        <v>1036.75</v>
      </c>
      <c r="M19" s="146">
        <f t="shared" ref="M19:M26" si="4">SUM(H19-(H19*K19))</f>
        <v>497.25</v>
      </c>
      <c r="N19" s="358">
        <f t="shared" ref="N19:N26" si="5">J19*M19</f>
        <v>0</v>
      </c>
      <c r="O19" s="338" t="s">
        <v>344</v>
      </c>
      <c r="P19" s="336">
        <v>0.23</v>
      </c>
      <c r="Q19" s="370">
        <v>22</v>
      </c>
      <c r="S19" s="92"/>
      <c r="T19" s="92"/>
      <c r="U19" s="92"/>
      <c r="BA19" s="56"/>
      <c r="BB19" s="56"/>
      <c r="BC19" s="56"/>
      <c r="BD19" s="56"/>
    </row>
    <row r="20" spans="1:56" ht="15" customHeight="1">
      <c r="A20" s="531"/>
      <c r="B20" s="143" t="s">
        <v>1232</v>
      </c>
      <c r="C20" s="536"/>
      <c r="D20" s="536"/>
      <c r="E20" s="535"/>
      <c r="F20" s="535"/>
      <c r="G20" s="664"/>
      <c r="H20" s="146">
        <v>830</v>
      </c>
      <c r="I20" s="532"/>
      <c r="J20" s="160"/>
      <c r="K20" s="145">
        <f t="shared" si="3"/>
        <v>0.35</v>
      </c>
      <c r="L20" s="550"/>
      <c r="M20" s="146">
        <f t="shared" si="4"/>
        <v>539.5</v>
      </c>
      <c r="N20" s="358">
        <f t="shared" si="5"/>
        <v>0</v>
      </c>
      <c r="O20" s="338" t="s">
        <v>887</v>
      </c>
      <c r="P20" s="336">
        <v>0.125</v>
      </c>
      <c r="Q20" s="367">
        <v>35</v>
      </c>
      <c r="S20" s="92"/>
      <c r="T20" s="92"/>
      <c r="U20" s="92"/>
      <c r="BA20" s="56"/>
      <c r="BB20" s="56"/>
      <c r="BC20" s="56"/>
      <c r="BD20" s="56"/>
    </row>
    <row r="21" spans="1:56" ht="15" customHeight="1">
      <c r="A21" s="530" t="s">
        <v>1292</v>
      </c>
      <c r="B21" s="143" t="s">
        <v>1296</v>
      </c>
      <c r="C21" s="535" t="s">
        <v>124</v>
      </c>
      <c r="D21" s="535" t="s">
        <v>125</v>
      </c>
      <c r="E21" s="535" t="s">
        <v>1239</v>
      </c>
      <c r="F21" s="535" t="s">
        <v>628</v>
      </c>
      <c r="G21" s="663">
        <f>H21+H22</f>
        <v>1663</v>
      </c>
      <c r="H21" s="146">
        <v>781</v>
      </c>
      <c r="I21" s="532">
        <v>112500</v>
      </c>
      <c r="J21" s="160"/>
      <c r="K21" s="145">
        <f t="shared" si="3"/>
        <v>0.35</v>
      </c>
      <c r="L21" s="550">
        <f>SUM(G21-(G21*K21))</f>
        <v>1080.95</v>
      </c>
      <c r="M21" s="146">
        <f t="shared" ref="M21:M22" si="6">SUM(H21-(H21*K21))</f>
        <v>507.65000000000003</v>
      </c>
      <c r="N21" s="358">
        <f t="shared" ref="N21:N22" si="7">J21*M21</f>
        <v>0</v>
      </c>
      <c r="O21" s="338" t="s">
        <v>344</v>
      </c>
      <c r="P21" s="336">
        <v>0.23</v>
      </c>
      <c r="Q21" s="370">
        <v>22</v>
      </c>
      <c r="S21" s="92"/>
      <c r="T21" s="92"/>
      <c r="U21" s="92"/>
      <c r="BA21" s="56"/>
      <c r="BB21" s="56"/>
      <c r="BC21" s="56"/>
      <c r="BD21" s="56"/>
    </row>
    <row r="22" spans="1:56" ht="15" customHeight="1">
      <c r="A22" s="531"/>
      <c r="B22" s="143" t="s">
        <v>1233</v>
      </c>
      <c r="C22" s="536"/>
      <c r="D22" s="536"/>
      <c r="E22" s="535"/>
      <c r="F22" s="535"/>
      <c r="G22" s="664"/>
      <c r="H22" s="146">
        <v>882</v>
      </c>
      <c r="I22" s="532"/>
      <c r="J22" s="160"/>
      <c r="K22" s="145">
        <f t="shared" si="3"/>
        <v>0.35</v>
      </c>
      <c r="L22" s="550"/>
      <c r="M22" s="146">
        <f t="shared" si="6"/>
        <v>573.29999999999995</v>
      </c>
      <c r="N22" s="358">
        <f t="shared" si="7"/>
        <v>0</v>
      </c>
      <c r="O22" s="338" t="s">
        <v>887</v>
      </c>
      <c r="P22" s="336">
        <v>0.125</v>
      </c>
      <c r="Q22" s="367">
        <v>37</v>
      </c>
      <c r="S22" s="92"/>
      <c r="T22" s="92"/>
      <c r="U22" s="92"/>
      <c r="BA22" s="56"/>
      <c r="BB22" s="56"/>
      <c r="BC22" s="56"/>
      <c r="BD22" s="56"/>
    </row>
    <row r="23" spans="1:56" ht="15" customHeight="1">
      <c r="A23" s="530" t="s">
        <v>1293</v>
      </c>
      <c r="B23" s="143" t="s">
        <v>1297</v>
      </c>
      <c r="C23" s="555" t="s">
        <v>126</v>
      </c>
      <c r="D23" s="555" t="s">
        <v>127</v>
      </c>
      <c r="E23" s="555" t="s">
        <v>1241</v>
      </c>
      <c r="F23" s="555" t="s">
        <v>1221</v>
      </c>
      <c r="G23" s="663">
        <f>H23+H24</f>
        <v>1816</v>
      </c>
      <c r="H23" s="146">
        <v>830</v>
      </c>
      <c r="I23" s="532">
        <v>122900</v>
      </c>
      <c r="J23" s="160"/>
      <c r="K23" s="145">
        <f t="shared" si="3"/>
        <v>0.35</v>
      </c>
      <c r="L23" s="550">
        <f>SUM(G23-(G23*K23))</f>
        <v>1180.4000000000001</v>
      </c>
      <c r="M23" s="146">
        <f t="shared" si="4"/>
        <v>539.5</v>
      </c>
      <c r="N23" s="358">
        <f t="shared" si="5"/>
        <v>0</v>
      </c>
      <c r="O23" s="338" t="s">
        <v>344</v>
      </c>
      <c r="P23" s="336">
        <v>0.23</v>
      </c>
      <c r="Q23" s="370">
        <v>22</v>
      </c>
      <c r="S23" s="92"/>
      <c r="T23" s="92"/>
      <c r="U23" s="92"/>
      <c r="BA23" s="56"/>
      <c r="BB23" s="56"/>
      <c r="BC23" s="56"/>
      <c r="BD23" s="56"/>
    </row>
    <row r="24" spans="1:56" ht="15" customHeight="1">
      <c r="A24" s="531"/>
      <c r="B24" s="143" t="s">
        <v>1234</v>
      </c>
      <c r="C24" s="662"/>
      <c r="D24" s="662"/>
      <c r="E24" s="555"/>
      <c r="F24" s="555"/>
      <c r="G24" s="664"/>
      <c r="H24" s="146">
        <v>986</v>
      </c>
      <c r="I24" s="532"/>
      <c r="J24" s="160"/>
      <c r="K24" s="145">
        <f t="shared" si="3"/>
        <v>0.35</v>
      </c>
      <c r="L24" s="550"/>
      <c r="M24" s="146">
        <f t="shared" si="4"/>
        <v>640.90000000000009</v>
      </c>
      <c r="N24" s="358">
        <f t="shared" si="5"/>
        <v>0</v>
      </c>
      <c r="O24" s="338" t="s">
        <v>887</v>
      </c>
      <c r="P24" s="336">
        <v>0.125</v>
      </c>
      <c r="Q24" s="367">
        <v>37</v>
      </c>
      <c r="S24" s="92"/>
      <c r="T24" s="92"/>
      <c r="U24" s="92"/>
      <c r="BA24" s="56"/>
      <c r="BB24" s="56"/>
      <c r="BC24" s="56"/>
      <c r="BD24" s="56"/>
    </row>
    <row r="25" spans="1:56" ht="15" customHeight="1">
      <c r="A25" s="530" t="s">
        <v>1294</v>
      </c>
      <c r="B25" s="143" t="s">
        <v>1298</v>
      </c>
      <c r="C25" s="555" t="s">
        <v>128</v>
      </c>
      <c r="D25" s="555" t="s">
        <v>129</v>
      </c>
      <c r="E25" s="555" t="s">
        <v>1190</v>
      </c>
      <c r="F25" s="555" t="s">
        <v>630</v>
      </c>
      <c r="G25" s="663">
        <f>H25+H26</f>
        <v>1989</v>
      </c>
      <c r="H25" s="146">
        <v>900</v>
      </c>
      <c r="I25" s="532">
        <v>134600</v>
      </c>
      <c r="J25" s="160"/>
      <c r="K25" s="145">
        <f t="shared" si="3"/>
        <v>0.35</v>
      </c>
      <c r="L25" s="550">
        <f>SUM(G25-(G25*K25))</f>
        <v>1292.8499999999999</v>
      </c>
      <c r="M25" s="146">
        <f t="shared" si="4"/>
        <v>585</v>
      </c>
      <c r="N25" s="358">
        <f t="shared" si="5"/>
        <v>0</v>
      </c>
      <c r="O25" s="338" t="s">
        <v>544</v>
      </c>
      <c r="P25" s="336">
        <v>0.23799999999999999</v>
      </c>
      <c r="Q25" s="367">
        <v>26</v>
      </c>
      <c r="S25" s="92"/>
      <c r="T25" s="92"/>
      <c r="U25" s="92"/>
      <c r="BA25" s="56"/>
      <c r="BB25" s="56"/>
      <c r="BC25" s="56"/>
      <c r="BD25" s="56"/>
    </row>
    <row r="26" spans="1:56" ht="15" customHeight="1">
      <c r="A26" s="531"/>
      <c r="B26" s="143" t="s">
        <v>1158</v>
      </c>
      <c r="C26" s="662"/>
      <c r="D26" s="662"/>
      <c r="E26" s="555"/>
      <c r="F26" s="555"/>
      <c r="G26" s="664"/>
      <c r="H26" s="146">
        <v>1089</v>
      </c>
      <c r="I26" s="532"/>
      <c r="J26" s="160"/>
      <c r="K26" s="145">
        <f t="shared" si="3"/>
        <v>0.35</v>
      </c>
      <c r="L26" s="550"/>
      <c r="M26" s="146">
        <f t="shared" si="4"/>
        <v>707.85</v>
      </c>
      <c r="N26" s="358">
        <f t="shared" si="5"/>
        <v>0</v>
      </c>
      <c r="O26" s="338" t="s">
        <v>888</v>
      </c>
      <c r="P26" s="336">
        <v>0.14599999999999999</v>
      </c>
      <c r="Q26" s="370">
        <v>40</v>
      </c>
      <c r="S26" s="92"/>
      <c r="T26" s="92"/>
      <c r="U26" s="92"/>
      <c r="BA26" s="56"/>
      <c r="BB26" s="56"/>
      <c r="BC26" s="56"/>
      <c r="BD26" s="56"/>
    </row>
    <row r="27" spans="1:56" ht="41.25" customHeight="1">
      <c r="A27" s="652" t="s">
        <v>1301</v>
      </c>
      <c r="B27" s="653"/>
      <c r="C27" s="653"/>
      <c r="D27" s="653"/>
      <c r="E27" s="653"/>
      <c r="F27" s="653"/>
      <c r="G27" s="653"/>
      <c r="H27" s="653"/>
      <c r="I27" s="653"/>
      <c r="J27" s="653"/>
      <c r="K27" s="653"/>
      <c r="L27" s="653"/>
      <c r="M27" s="653"/>
      <c r="N27" s="149"/>
      <c r="O27" s="150"/>
      <c r="P27" s="150"/>
      <c r="Q27" s="399"/>
      <c r="S27" s="92"/>
      <c r="T27" s="92"/>
      <c r="U27" s="92"/>
      <c r="BA27" s="56"/>
      <c r="BB27" s="56"/>
      <c r="BC27" s="56"/>
      <c r="BD27" s="56"/>
    </row>
    <row r="28" spans="1:56" ht="30" customHeight="1">
      <c r="A28" s="537" t="s">
        <v>158</v>
      </c>
      <c r="B28" s="538"/>
      <c r="C28" s="538"/>
      <c r="D28" s="538"/>
      <c r="E28" s="538"/>
      <c r="F28" s="538"/>
      <c r="G28" s="538"/>
      <c r="H28" s="538"/>
      <c r="I28" s="538"/>
      <c r="J28" s="538"/>
      <c r="K28" s="538"/>
      <c r="L28" s="538"/>
      <c r="M28" s="538"/>
      <c r="N28" s="538"/>
      <c r="O28" s="538"/>
      <c r="P28" s="538"/>
      <c r="Q28" s="539"/>
      <c r="S28" s="92"/>
      <c r="T28" s="92"/>
      <c r="U28" s="92"/>
    </row>
    <row r="29" spans="1:56" s="73" customFormat="1" ht="19.5" customHeight="1">
      <c r="A29" s="669" t="s">
        <v>495</v>
      </c>
      <c r="B29" s="670"/>
      <c r="C29" s="670"/>
      <c r="D29" s="670"/>
      <c r="E29" s="670"/>
      <c r="F29" s="670"/>
      <c r="G29" s="670"/>
      <c r="H29" s="670"/>
      <c r="I29" s="670"/>
      <c r="J29" s="670"/>
      <c r="K29" s="670"/>
      <c r="L29" s="670"/>
      <c r="M29" s="670"/>
      <c r="N29" s="137"/>
      <c r="O29" s="138"/>
      <c r="P29" s="138"/>
      <c r="Q29" s="377"/>
      <c r="R29" s="57"/>
      <c r="S29" s="92"/>
      <c r="T29" s="92"/>
      <c r="U29" s="92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</row>
    <row r="30" spans="1:56" ht="15" customHeight="1">
      <c r="A30" s="530" t="s">
        <v>1291</v>
      </c>
      <c r="B30" s="143" t="s">
        <v>1295</v>
      </c>
      <c r="C30" s="535" t="s">
        <v>1302</v>
      </c>
      <c r="D30" s="535" t="s">
        <v>1303</v>
      </c>
      <c r="E30" s="535" t="s">
        <v>90</v>
      </c>
      <c r="F30" s="535" t="s">
        <v>627</v>
      </c>
      <c r="G30" s="663">
        <f>H30+H31</f>
        <v>1388</v>
      </c>
      <c r="H30" s="146">
        <v>765</v>
      </c>
      <c r="I30" s="532">
        <v>94000</v>
      </c>
      <c r="J30" s="160"/>
      <c r="K30" s="145">
        <f t="shared" ref="K30:K37" si="8">$D$3</f>
        <v>0.35</v>
      </c>
      <c r="L30" s="550">
        <f>SUM(G30-(G30*K30))</f>
        <v>902.2</v>
      </c>
      <c r="M30" s="146">
        <f t="shared" ref="M30:M37" si="9">SUM(H30-(H30*K30))</f>
        <v>497.25</v>
      </c>
      <c r="N30" s="358">
        <f t="shared" ref="N30:N37" si="10">J30*M30</f>
        <v>0</v>
      </c>
      <c r="O30" s="338" t="s">
        <v>344</v>
      </c>
      <c r="P30" s="336">
        <v>0.23</v>
      </c>
      <c r="Q30" s="370">
        <v>22</v>
      </c>
      <c r="S30" s="92"/>
      <c r="T30" s="92"/>
      <c r="U30" s="92"/>
      <c r="BA30" s="56"/>
      <c r="BB30" s="56"/>
      <c r="BC30" s="56"/>
      <c r="BD30" s="56"/>
    </row>
    <row r="31" spans="1:56" ht="15" customHeight="1">
      <c r="A31" s="531"/>
      <c r="B31" s="143" t="s">
        <v>1247</v>
      </c>
      <c r="C31" s="536"/>
      <c r="D31" s="536"/>
      <c r="E31" s="535"/>
      <c r="F31" s="535"/>
      <c r="G31" s="664"/>
      <c r="H31" s="146">
        <v>623</v>
      </c>
      <c r="I31" s="532"/>
      <c r="J31" s="160"/>
      <c r="K31" s="145">
        <f t="shared" si="8"/>
        <v>0.35</v>
      </c>
      <c r="L31" s="550"/>
      <c r="M31" s="146">
        <f t="shared" si="9"/>
        <v>404.95000000000005</v>
      </c>
      <c r="N31" s="358">
        <f t="shared" si="10"/>
        <v>0</v>
      </c>
      <c r="O31" s="338" t="s">
        <v>885</v>
      </c>
      <c r="P31" s="336">
        <v>0.104</v>
      </c>
      <c r="Q31" s="367">
        <v>27</v>
      </c>
      <c r="S31" s="92"/>
      <c r="T31" s="92"/>
      <c r="U31" s="92"/>
      <c r="BA31" s="56"/>
      <c r="BB31" s="56"/>
      <c r="BC31" s="56"/>
      <c r="BD31" s="56"/>
    </row>
    <row r="32" spans="1:56" ht="15" customHeight="1">
      <c r="A32" s="530" t="s">
        <v>1292</v>
      </c>
      <c r="B32" s="143" t="s">
        <v>1296</v>
      </c>
      <c r="C32" s="535" t="s">
        <v>1304</v>
      </c>
      <c r="D32" s="535" t="s">
        <v>1305</v>
      </c>
      <c r="E32" s="535" t="s">
        <v>89</v>
      </c>
      <c r="F32" s="535" t="s">
        <v>1306</v>
      </c>
      <c r="G32" s="663">
        <f>H32+H33</f>
        <v>1442</v>
      </c>
      <c r="H32" s="146">
        <v>781</v>
      </c>
      <c r="I32" s="532">
        <v>97500</v>
      </c>
      <c r="J32" s="160"/>
      <c r="K32" s="145">
        <f t="shared" si="8"/>
        <v>0.35</v>
      </c>
      <c r="L32" s="550">
        <f>SUM(G32-(G32*K32))</f>
        <v>937.3</v>
      </c>
      <c r="M32" s="146">
        <f t="shared" si="9"/>
        <v>507.65000000000003</v>
      </c>
      <c r="N32" s="358">
        <f t="shared" si="10"/>
        <v>0</v>
      </c>
      <c r="O32" s="338" t="s">
        <v>344</v>
      </c>
      <c r="P32" s="336">
        <v>0.23</v>
      </c>
      <c r="Q32" s="370">
        <v>22</v>
      </c>
      <c r="S32" s="92"/>
      <c r="T32" s="92"/>
      <c r="U32" s="92"/>
      <c r="BA32" s="56"/>
      <c r="BB32" s="56"/>
      <c r="BC32" s="56"/>
      <c r="BD32" s="56"/>
    </row>
    <row r="33" spans="1:56" ht="15" customHeight="1">
      <c r="A33" s="531"/>
      <c r="B33" s="143" t="s">
        <v>1248</v>
      </c>
      <c r="C33" s="536"/>
      <c r="D33" s="536"/>
      <c r="E33" s="535"/>
      <c r="F33" s="535"/>
      <c r="G33" s="664"/>
      <c r="H33" s="146">
        <v>661</v>
      </c>
      <c r="I33" s="532"/>
      <c r="J33" s="160"/>
      <c r="K33" s="145">
        <f t="shared" si="8"/>
        <v>0.35</v>
      </c>
      <c r="L33" s="550"/>
      <c r="M33" s="146">
        <f t="shared" si="9"/>
        <v>429.65</v>
      </c>
      <c r="N33" s="358">
        <f t="shared" si="10"/>
        <v>0</v>
      </c>
      <c r="O33" s="338" t="s">
        <v>885</v>
      </c>
      <c r="P33" s="336">
        <v>0.104</v>
      </c>
      <c r="Q33" s="367">
        <v>29</v>
      </c>
      <c r="S33" s="92"/>
      <c r="T33" s="92"/>
      <c r="U33" s="92"/>
      <c r="BA33" s="56"/>
      <c r="BB33" s="56"/>
      <c r="BC33" s="56"/>
      <c r="BD33" s="56"/>
    </row>
    <row r="34" spans="1:56" ht="15" customHeight="1">
      <c r="A34" s="530" t="s">
        <v>1293</v>
      </c>
      <c r="B34" s="143" t="s">
        <v>1297</v>
      </c>
      <c r="C34" s="555" t="s">
        <v>1307</v>
      </c>
      <c r="D34" s="555" t="s">
        <v>1308</v>
      </c>
      <c r="E34" s="555" t="s">
        <v>1258</v>
      </c>
      <c r="F34" s="555" t="s">
        <v>137</v>
      </c>
      <c r="G34" s="663">
        <f>H34+H35</f>
        <v>1569</v>
      </c>
      <c r="H34" s="146">
        <v>830</v>
      </c>
      <c r="I34" s="532">
        <v>106200</v>
      </c>
      <c r="J34" s="160"/>
      <c r="K34" s="145">
        <f t="shared" si="8"/>
        <v>0.35</v>
      </c>
      <c r="L34" s="550">
        <f>SUM(G34-(G34*K34))</f>
        <v>1019.85</v>
      </c>
      <c r="M34" s="146">
        <f t="shared" si="9"/>
        <v>539.5</v>
      </c>
      <c r="N34" s="358">
        <f t="shared" si="10"/>
        <v>0</v>
      </c>
      <c r="O34" s="338" t="s">
        <v>344</v>
      </c>
      <c r="P34" s="336">
        <v>0.23</v>
      </c>
      <c r="Q34" s="370">
        <v>22</v>
      </c>
      <c r="S34" s="92"/>
      <c r="T34" s="92"/>
      <c r="U34" s="92"/>
      <c r="BA34" s="56"/>
      <c r="BB34" s="56"/>
      <c r="BC34" s="56"/>
      <c r="BD34" s="56"/>
    </row>
    <row r="35" spans="1:56" ht="15" customHeight="1">
      <c r="A35" s="531"/>
      <c r="B35" s="143" t="s">
        <v>1249</v>
      </c>
      <c r="C35" s="662"/>
      <c r="D35" s="662"/>
      <c r="E35" s="555"/>
      <c r="F35" s="555"/>
      <c r="G35" s="664"/>
      <c r="H35" s="146">
        <v>739</v>
      </c>
      <c r="I35" s="532"/>
      <c r="J35" s="160"/>
      <c r="K35" s="145">
        <f t="shared" si="8"/>
        <v>0.35</v>
      </c>
      <c r="L35" s="550"/>
      <c r="M35" s="146">
        <f t="shared" si="9"/>
        <v>480.35</v>
      </c>
      <c r="N35" s="358">
        <f t="shared" si="10"/>
        <v>0</v>
      </c>
      <c r="O35" s="338" t="s">
        <v>887</v>
      </c>
      <c r="P35" s="336">
        <v>0.125</v>
      </c>
      <c r="Q35" s="367">
        <v>36</v>
      </c>
      <c r="S35" s="92"/>
      <c r="T35" s="92"/>
      <c r="U35" s="92"/>
      <c r="BA35" s="56"/>
      <c r="BB35" s="56"/>
      <c r="BC35" s="56"/>
      <c r="BD35" s="56"/>
    </row>
    <row r="36" spans="1:56" ht="15" customHeight="1">
      <c r="A36" s="530" t="s">
        <v>1294</v>
      </c>
      <c r="B36" s="143" t="s">
        <v>1298</v>
      </c>
      <c r="C36" s="555" t="s">
        <v>1309</v>
      </c>
      <c r="D36" s="555" t="s">
        <v>1310</v>
      </c>
      <c r="E36" s="555" t="s">
        <v>1311</v>
      </c>
      <c r="F36" s="555" t="s">
        <v>1312</v>
      </c>
      <c r="G36" s="663">
        <f>H36+H37</f>
        <v>1717</v>
      </c>
      <c r="H36" s="146">
        <v>900</v>
      </c>
      <c r="I36" s="532">
        <v>116200</v>
      </c>
      <c r="J36" s="160"/>
      <c r="K36" s="145">
        <f t="shared" si="8"/>
        <v>0.35</v>
      </c>
      <c r="L36" s="550">
        <f>SUM(G36-(G36*K36))</f>
        <v>1116.0500000000002</v>
      </c>
      <c r="M36" s="146">
        <f t="shared" si="9"/>
        <v>585</v>
      </c>
      <c r="N36" s="358">
        <f t="shared" si="10"/>
        <v>0</v>
      </c>
      <c r="O36" s="338" t="s">
        <v>544</v>
      </c>
      <c r="P36" s="336">
        <v>0.23799999999999999</v>
      </c>
      <c r="Q36" s="367">
        <v>26</v>
      </c>
      <c r="S36" s="92"/>
      <c r="T36" s="92"/>
      <c r="U36" s="92"/>
      <c r="BA36" s="56"/>
      <c r="BB36" s="56"/>
      <c r="BC36" s="56"/>
      <c r="BD36" s="56"/>
    </row>
    <row r="37" spans="1:56" ht="15" customHeight="1">
      <c r="A37" s="531"/>
      <c r="B37" s="143" t="s">
        <v>1202</v>
      </c>
      <c r="C37" s="662"/>
      <c r="D37" s="662"/>
      <c r="E37" s="555"/>
      <c r="F37" s="555"/>
      <c r="G37" s="664"/>
      <c r="H37" s="146">
        <v>817</v>
      </c>
      <c r="I37" s="532"/>
      <c r="J37" s="160"/>
      <c r="K37" s="145">
        <f t="shared" si="8"/>
        <v>0.35</v>
      </c>
      <c r="L37" s="550"/>
      <c r="M37" s="146">
        <f t="shared" si="9"/>
        <v>531.04999999999995</v>
      </c>
      <c r="N37" s="358">
        <f t="shared" si="10"/>
        <v>0</v>
      </c>
      <c r="O37" s="338" t="s">
        <v>887</v>
      </c>
      <c r="P37" s="336">
        <v>0.126</v>
      </c>
      <c r="Q37" s="370">
        <v>36</v>
      </c>
      <c r="S37" s="92"/>
      <c r="T37" s="92"/>
      <c r="U37" s="92"/>
      <c r="BA37" s="56"/>
      <c r="BB37" s="56"/>
      <c r="BC37" s="56"/>
      <c r="BD37" s="56"/>
    </row>
    <row r="38" spans="1:56" ht="41.25" customHeight="1">
      <c r="A38" s="688" t="s">
        <v>1017</v>
      </c>
      <c r="B38" s="689"/>
      <c r="C38" s="689"/>
      <c r="D38" s="689"/>
      <c r="E38" s="689"/>
      <c r="F38" s="689"/>
      <c r="G38" s="689"/>
      <c r="H38" s="689"/>
      <c r="I38" s="689"/>
      <c r="J38" s="689"/>
      <c r="K38" s="689"/>
      <c r="L38" s="689"/>
      <c r="M38" s="689"/>
      <c r="N38" s="149"/>
      <c r="O38" s="150"/>
      <c r="P38" s="150"/>
      <c r="Q38" s="399"/>
      <c r="S38" s="92"/>
      <c r="T38" s="92"/>
      <c r="U38" s="92"/>
    </row>
    <row r="39" spans="1:56" ht="30" customHeight="1">
      <c r="A39" s="606" t="s">
        <v>612</v>
      </c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7"/>
      <c r="M39" s="607"/>
      <c r="N39" s="607"/>
      <c r="O39" s="607"/>
      <c r="P39" s="607"/>
      <c r="Q39" s="608"/>
      <c r="S39" s="92"/>
      <c r="T39" s="92"/>
      <c r="U39" s="92"/>
    </row>
    <row r="40" spans="1:56" ht="15" customHeight="1">
      <c r="A40" s="677" t="s">
        <v>611</v>
      </c>
      <c r="B40" s="678"/>
      <c r="C40" s="678"/>
      <c r="D40" s="678"/>
      <c r="E40" s="678"/>
      <c r="F40" s="678"/>
      <c r="G40" s="678"/>
      <c r="H40" s="678"/>
      <c r="I40" s="678"/>
      <c r="J40" s="678"/>
      <c r="K40" s="678"/>
      <c r="L40" s="678"/>
      <c r="M40" s="679"/>
      <c r="N40" s="137"/>
      <c r="O40" s="138"/>
      <c r="P40" s="138"/>
      <c r="Q40" s="377"/>
      <c r="S40" s="92"/>
      <c r="T40" s="92"/>
      <c r="U40" s="92"/>
    </row>
    <row r="41" spans="1:56" ht="15" customHeight="1">
      <c r="A41" s="680" t="s">
        <v>613</v>
      </c>
      <c r="B41" s="143" t="s">
        <v>613</v>
      </c>
      <c r="C41" s="658" t="s">
        <v>124</v>
      </c>
      <c r="D41" s="658" t="s">
        <v>125</v>
      </c>
      <c r="E41" s="658" t="s">
        <v>620</v>
      </c>
      <c r="F41" s="658" t="s">
        <v>204</v>
      </c>
      <c r="G41" s="675">
        <f t="shared" ref="G41:G55" si="11">H41+H42</f>
        <v>2225</v>
      </c>
      <c r="H41" s="146">
        <v>1224</v>
      </c>
      <c r="I41" s="671">
        <v>150500</v>
      </c>
      <c r="J41" s="160"/>
      <c r="K41" s="145">
        <f t="shared" ref="K41:K56" si="12">$D$3</f>
        <v>0.35</v>
      </c>
      <c r="L41" s="673">
        <f>SUM(G41-(G41*K41))</f>
        <v>1446.25</v>
      </c>
      <c r="M41" s="146">
        <f t="shared" ref="M41:M56" si="13">SUM(H41-(H41*K41))</f>
        <v>795.6</v>
      </c>
      <c r="N41" s="358">
        <f t="shared" ref="N41:N46" si="14">J41*M41</f>
        <v>0</v>
      </c>
      <c r="O41" s="338" t="s">
        <v>638</v>
      </c>
      <c r="P41" s="336">
        <v>0.32800000000000001</v>
      </c>
      <c r="Q41" s="370">
        <v>34</v>
      </c>
      <c r="S41" s="92"/>
      <c r="T41" s="92"/>
      <c r="U41" s="92"/>
    </row>
    <row r="42" spans="1:56" ht="15" customHeight="1">
      <c r="A42" s="681"/>
      <c r="B42" s="143" t="s">
        <v>621</v>
      </c>
      <c r="C42" s="660"/>
      <c r="D42" s="660"/>
      <c r="E42" s="660"/>
      <c r="F42" s="660"/>
      <c r="G42" s="676"/>
      <c r="H42" s="146">
        <v>1001</v>
      </c>
      <c r="I42" s="672"/>
      <c r="J42" s="160"/>
      <c r="K42" s="145">
        <f t="shared" si="12"/>
        <v>0.35</v>
      </c>
      <c r="L42" s="674"/>
      <c r="M42" s="146">
        <f t="shared" si="13"/>
        <v>650.65000000000009</v>
      </c>
      <c r="N42" s="358">
        <f t="shared" si="14"/>
        <v>0</v>
      </c>
      <c r="O42" s="338" t="s">
        <v>319</v>
      </c>
      <c r="P42" s="336">
        <v>0.249</v>
      </c>
      <c r="Q42" s="370">
        <v>44</v>
      </c>
      <c r="S42" s="92"/>
      <c r="T42" s="92"/>
      <c r="U42" s="92"/>
    </row>
    <row r="43" spans="1:56" ht="15" customHeight="1">
      <c r="A43" s="680" t="s">
        <v>614</v>
      </c>
      <c r="B43" s="135" t="s">
        <v>614</v>
      </c>
      <c r="C43" s="684" t="s">
        <v>126</v>
      </c>
      <c r="D43" s="684" t="s">
        <v>127</v>
      </c>
      <c r="E43" s="684" t="s">
        <v>627</v>
      </c>
      <c r="F43" s="684" t="s">
        <v>603</v>
      </c>
      <c r="G43" s="675">
        <f t="shared" si="11"/>
        <v>2537</v>
      </c>
      <c r="H43" s="146">
        <v>1396</v>
      </c>
      <c r="I43" s="671">
        <v>171600</v>
      </c>
      <c r="J43" s="160"/>
      <c r="K43" s="145">
        <f t="shared" si="12"/>
        <v>0.35</v>
      </c>
      <c r="L43" s="673">
        <f>SUM(G43-(G43*K43))</f>
        <v>1649.0500000000002</v>
      </c>
      <c r="M43" s="146">
        <f t="shared" si="13"/>
        <v>907.40000000000009</v>
      </c>
      <c r="N43" s="358">
        <f t="shared" si="14"/>
        <v>0</v>
      </c>
      <c r="O43" s="338" t="s">
        <v>638</v>
      </c>
      <c r="P43" s="336">
        <v>0.32800000000000001</v>
      </c>
      <c r="Q43" s="370">
        <v>34</v>
      </c>
      <c r="S43" s="92"/>
      <c r="T43" s="92"/>
      <c r="U43" s="92"/>
    </row>
    <row r="44" spans="1:56" ht="15" customHeight="1">
      <c r="A44" s="681"/>
      <c r="B44" s="135" t="s">
        <v>624</v>
      </c>
      <c r="C44" s="685"/>
      <c r="D44" s="685"/>
      <c r="E44" s="685"/>
      <c r="F44" s="685"/>
      <c r="G44" s="676"/>
      <c r="H44" s="146">
        <v>1141</v>
      </c>
      <c r="I44" s="672"/>
      <c r="J44" s="160"/>
      <c r="K44" s="145">
        <f t="shared" si="12"/>
        <v>0.35</v>
      </c>
      <c r="L44" s="674"/>
      <c r="M44" s="146">
        <f t="shared" si="13"/>
        <v>741.65000000000009</v>
      </c>
      <c r="N44" s="358">
        <f t="shared" si="14"/>
        <v>0</v>
      </c>
      <c r="O44" s="338" t="s">
        <v>319</v>
      </c>
      <c r="P44" s="336">
        <v>0.249</v>
      </c>
      <c r="Q44" s="367">
        <v>44</v>
      </c>
      <c r="S44" s="92"/>
      <c r="T44" s="92"/>
      <c r="U44" s="92"/>
    </row>
    <row r="45" spans="1:56" ht="15" customHeight="1">
      <c r="A45" s="680" t="s">
        <v>615</v>
      </c>
      <c r="B45" s="135" t="s">
        <v>615</v>
      </c>
      <c r="C45" s="684" t="s">
        <v>625</v>
      </c>
      <c r="D45" s="684" t="s">
        <v>626</v>
      </c>
      <c r="E45" s="684" t="s">
        <v>628</v>
      </c>
      <c r="F45" s="684" t="s">
        <v>629</v>
      </c>
      <c r="G45" s="675">
        <f t="shared" si="11"/>
        <v>3211</v>
      </c>
      <c r="H45" s="146">
        <v>1419</v>
      </c>
      <c r="I45" s="671">
        <v>217200</v>
      </c>
      <c r="J45" s="160"/>
      <c r="K45" s="145">
        <f t="shared" si="12"/>
        <v>0.35</v>
      </c>
      <c r="L45" s="673">
        <f>SUM(G45-(G45*K45))</f>
        <v>2087.15</v>
      </c>
      <c r="M45" s="146">
        <f t="shared" si="13"/>
        <v>922.35</v>
      </c>
      <c r="N45" s="358">
        <f t="shared" si="14"/>
        <v>0</v>
      </c>
      <c r="O45" s="338" t="s">
        <v>639</v>
      </c>
      <c r="P45" s="336">
        <v>0.433</v>
      </c>
      <c r="Q45" s="367">
        <v>43</v>
      </c>
      <c r="S45" s="92"/>
      <c r="T45" s="92"/>
      <c r="U45" s="92"/>
    </row>
    <row r="46" spans="1:56" ht="15" customHeight="1">
      <c r="A46" s="681"/>
      <c r="B46" s="135" t="s">
        <v>587</v>
      </c>
      <c r="C46" s="685"/>
      <c r="D46" s="685"/>
      <c r="E46" s="685"/>
      <c r="F46" s="685"/>
      <c r="G46" s="676"/>
      <c r="H46" s="146">
        <v>1792</v>
      </c>
      <c r="I46" s="672"/>
      <c r="J46" s="160"/>
      <c r="K46" s="145">
        <f t="shared" si="12"/>
        <v>0.35</v>
      </c>
      <c r="L46" s="674"/>
      <c r="M46" s="146">
        <f t="shared" si="13"/>
        <v>1164.8000000000002</v>
      </c>
      <c r="N46" s="358">
        <f t="shared" si="14"/>
        <v>0</v>
      </c>
      <c r="O46" s="338" t="s">
        <v>323</v>
      </c>
      <c r="P46" s="336">
        <v>0.26600000000000001</v>
      </c>
      <c r="Q46" s="367">
        <v>45</v>
      </c>
      <c r="S46" s="92"/>
      <c r="T46" s="92"/>
      <c r="U46" s="92"/>
    </row>
    <row r="47" spans="1:56" ht="15" customHeight="1">
      <c r="A47" s="680" t="s">
        <v>616</v>
      </c>
      <c r="B47" s="135" t="s">
        <v>616</v>
      </c>
      <c r="C47" s="682" t="s">
        <v>541</v>
      </c>
      <c r="D47" s="682" t="s">
        <v>130</v>
      </c>
      <c r="E47" s="682" t="s">
        <v>257</v>
      </c>
      <c r="F47" s="682" t="s">
        <v>90</v>
      </c>
      <c r="G47" s="675">
        <f t="shared" si="11"/>
        <v>3759</v>
      </c>
      <c r="H47" s="146">
        <v>1562</v>
      </c>
      <c r="I47" s="671">
        <v>254200</v>
      </c>
      <c r="J47" s="160"/>
      <c r="K47" s="145">
        <f t="shared" si="12"/>
        <v>0.35</v>
      </c>
      <c r="L47" s="673">
        <f>SUM(G47-(G47*K47))</f>
        <v>2443.3500000000004</v>
      </c>
      <c r="M47" s="146">
        <f t="shared" si="13"/>
        <v>1015.3000000000001</v>
      </c>
      <c r="N47" s="358">
        <f>J47*M47</f>
        <v>0</v>
      </c>
      <c r="O47" s="338" t="s">
        <v>639</v>
      </c>
      <c r="P47" s="336">
        <v>0.433</v>
      </c>
      <c r="Q47" s="367">
        <v>43</v>
      </c>
      <c r="S47" s="92"/>
      <c r="T47" s="92"/>
      <c r="U47" s="92"/>
    </row>
    <row r="48" spans="1:56" ht="15" customHeight="1">
      <c r="A48" s="681"/>
      <c r="B48" s="135" t="s">
        <v>594</v>
      </c>
      <c r="C48" s="683"/>
      <c r="D48" s="683"/>
      <c r="E48" s="683"/>
      <c r="F48" s="683"/>
      <c r="G48" s="676"/>
      <c r="H48" s="146">
        <v>2197</v>
      </c>
      <c r="I48" s="672"/>
      <c r="J48" s="160"/>
      <c r="K48" s="145">
        <f t="shared" si="12"/>
        <v>0.35</v>
      </c>
      <c r="L48" s="674"/>
      <c r="M48" s="146">
        <f t="shared" si="13"/>
        <v>1428.0500000000002</v>
      </c>
      <c r="N48" s="358">
        <f>J48*M48</f>
        <v>0</v>
      </c>
      <c r="O48" s="338" t="s">
        <v>323</v>
      </c>
      <c r="P48" s="336">
        <v>0.26600000000000001</v>
      </c>
      <c r="Q48" s="367">
        <v>45</v>
      </c>
      <c r="S48" s="92"/>
      <c r="T48" s="92"/>
      <c r="U48" s="92"/>
    </row>
    <row r="49" spans="1:21" ht="15" customHeight="1">
      <c r="A49" s="680" t="s">
        <v>617</v>
      </c>
      <c r="B49" s="135" t="s">
        <v>617</v>
      </c>
      <c r="C49" s="682" t="s">
        <v>556</v>
      </c>
      <c r="D49" s="682" t="s">
        <v>134</v>
      </c>
      <c r="E49" s="682" t="s">
        <v>89</v>
      </c>
      <c r="F49" s="682" t="s">
        <v>630</v>
      </c>
      <c r="G49" s="675">
        <f t="shared" si="11"/>
        <v>4106</v>
      </c>
      <c r="H49" s="146">
        <v>1637</v>
      </c>
      <c r="I49" s="671">
        <v>277700</v>
      </c>
      <c r="J49" s="160"/>
      <c r="K49" s="145">
        <f t="shared" si="12"/>
        <v>0.35</v>
      </c>
      <c r="L49" s="673">
        <f>SUM(G49-(G49*K49))</f>
        <v>2668.9</v>
      </c>
      <c r="M49" s="146">
        <f t="shared" si="13"/>
        <v>1064.0500000000002</v>
      </c>
      <c r="N49" s="358">
        <f>J49*M49</f>
        <v>0</v>
      </c>
      <c r="O49" s="338" t="s">
        <v>639</v>
      </c>
      <c r="P49" s="336">
        <v>0.433</v>
      </c>
      <c r="Q49" s="367">
        <v>44</v>
      </c>
      <c r="S49" s="92"/>
      <c r="T49" s="92"/>
      <c r="U49" s="92"/>
    </row>
    <row r="50" spans="1:21" ht="15" customHeight="1">
      <c r="A50" s="681"/>
      <c r="B50" s="135" t="s">
        <v>596</v>
      </c>
      <c r="C50" s="683"/>
      <c r="D50" s="683"/>
      <c r="E50" s="683"/>
      <c r="F50" s="683"/>
      <c r="G50" s="676"/>
      <c r="H50" s="146">
        <v>2469</v>
      </c>
      <c r="I50" s="672"/>
      <c r="J50" s="160"/>
      <c r="K50" s="145">
        <f t="shared" si="12"/>
        <v>0.35</v>
      </c>
      <c r="L50" s="674"/>
      <c r="M50" s="146">
        <f t="shared" si="13"/>
        <v>1604.85</v>
      </c>
      <c r="N50" s="358">
        <f>J50*M50</f>
        <v>0</v>
      </c>
      <c r="O50" s="338" t="s">
        <v>320</v>
      </c>
      <c r="P50" s="336">
        <v>0.45300000000000001</v>
      </c>
      <c r="Q50" s="367">
        <v>68</v>
      </c>
      <c r="S50" s="92"/>
      <c r="T50" s="92"/>
      <c r="U50" s="92"/>
    </row>
    <row r="51" spans="1:21" ht="15" customHeight="1">
      <c r="A51" s="661" t="s">
        <v>618</v>
      </c>
      <c r="B51" s="135" t="s">
        <v>618</v>
      </c>
      <c r="C51" s="542" t="s">
        <v>1018</v>
      </c>
      <c r="D51" s="542" t="s">
        <v>1019</v>
      </c>
      <c r="E51" s="542" t="s">
        <v>606</v>
      </c>
      <c r="F51" s="542" t="s">
        <v>582</v>
      </c>
      <c r="G51" s="663">
        <f t="shared" si="11"/>
        <v>4046</v>
      </c>
      <c r="H51" s="144">
        <v>1341</v>
      </c>
      <c r="I51" s="532">
        <v>273600</v>
      </c>
      <c r="J51" s="160"/>
      <c r="K51" s="145">
        <f t="shared" si="12"/>
        <v>0.35</v>
      </c>
      <c r="L51" s="550">
        <f>SUM(G51-(G51*K51))</f>
        <v>2629.9</v>
      </c>
      <c r="M51" s="144">
        <f t="shared" si="13"/>
        <v>871.65000000000009</v>
      </c>
      <c r="N51" s="358">
        <f t="shared" ref="N51:N56" si="15">J51*M51</f>
        <v>0</v>
      </c>
      <c r="O51" s="338" t="s">
        <v>640</v>
      </c>
      <c r="P51" s="336">
        <v>0.57299999999999995</v>
      </c>
      <c r="Q51" s="367">
        <v>55</v>
      </c>
      <c r="S51" s="92"/>
      <c r="T51" s="92"/>
      <c r="U51" s="92"/>
    </row>
    <row r="52" spans="1:21" ht="15" customHeight="1">
      <c r="A52" s="661"/>
      <c r="B52" s="135" t="s">
        <v>598</v>
      </c>
      <c r="C52" s="668"/>
      <c r="D52" s="668"/>
      <c r="E52" s="542"/>
      <c r="F52" s="542"/>
      <c r="G52" s="664"/>
      <c r="H52" s="144">
        <v>2705</v>
      </c>
      <c r="I52" s="532"/>
      <c r="J52" s="160"/>
      <c r="K52" s="145">
        <f t="shared" si="12"/>
        <v>0.35</v>
      </c>
      <c r="L52" s="550"/>
      <c r="M52" s="144">
        <f t="shared" si="13"/>
        <v>1758.25</v>
      </c>
      <c r="N52" s="358">
        <f t="shared" si="15"/>
        <v>0</v>
      </c>
      <c r="O52" s="338" t="s">
        <v>320</v>
      </c>
      <c r="P52" s="336">
        <v>0.45300000000000001</v>
      </c>
      <c r="Q52" s="367">
        <v>68</v>
      </c>
      <c r="S52" s="92"/>
      <c r="T52" s="92"/>
      <c r="U52" s="92"/>
    </row>
    <row r="53" spans="1:21" ht="15" customHeight="1">
      <c r="A53" s="661" t="s">
        <v>622</v>
      </c>
      <c r="B53" s="135" t="s">
        <v>622</v>
      </c>
      <c r="C53" s="542" t="s">
        <v>1020</v>
      </c>
      <c r="D53" s="542" t="s">
        <v>1021</v>
      </c>
      <c r="E53" s="542" t="s">
        <v>631</v>
      </c>
      <c r="F53" s="542" t="s">
        <v>632</v>
      </c>
      <c r="G53" s="663">
        <f t="shared" si="11"/>
        <v>4589</v>
      </c>
      <c r="H53" s="146">
        <v>1616</v>
      </c>
      <c r="I53" s="532">
        <v>310300</v>
      </c>
      <c r="J53" s="160"/>
      <c r="K53" s="145">
        <f t="shared" si="12"/>
        <v>0.35</v>
      </c>
      <c r="L53" s="550">
        <f>SUM(G53-(G53*K53))</f>
        <v>2982.8500000000004</v>
      </c>
      <c r="M53" s="146">
        <f t="shared" si="13"/>
        <v>1050.4000000000001</v>
      </c>
      <c r="N53" s="358">
        <f t="shared" si="15"/>
        <v>0</v>
      </c>
      <c r="O53" s="338" t="s">
        <v>640</v>
      </c>
      <c r="P53" s="336">
        <v>0.57299999999999995</v>
      </c>
      <c r="Q53" s="370">
        <v>55</v>
      </c>
      <c r="S53" s="92"/>
      <c r="T53" s="92"/>
      <c r="U53" s="92"/>
    </row>
    <row r="54" spans="1:21" ht="15" customHeight="1">
      <c r="A54" s="661"/>
      <c r="B54" s="135" t="s">
        <v>600</v>
      </c>
      <c r="C54" s="668"/>
      <c r="D54" s="668"/>
      <c r="E54" s="542"/>
      <c r="F54" s="542"/>
      <c r="G54" s="664"/>
      <c r="H54" s="146">
        <v>2973</v>
      </c>
      <c r="I54" s="532"/>
      <c r="J54" s="160"/>
      <c r="K54" s="145">
        <f t="shared" si="12"/>
        <v>0.35</v>
      </c>
      <c r="L54" s="550"/>
      <c r="M54" s="146">
        <f t="shared" si="13"/>
        <v>1932.45</v>
      </c>
      <c r="N54" s="358">
        <f t="shared" si="15"/>
        <v>0</v>
      </c>
      <c r="O54" s="338" t="s">
        <v>334</v>
      </c>
      <c r="P54" s="336">
        <v>0.45300000000000001</v>
      </c>
      <c r="Q54" s="370">
        <v>94</v>
      </c>
      <c r="S54" s="92"/>
      <c r="T54" s="92"/>
      <c r="U54" s="92"/>
    </row>
    <row r="55" spans="1:21" ht="15" customHeight="1">
      <c r="A55" s="661" t="s">
        <v>619</v>
      </c>
      <c r="B55" s="135" t="s">
        <v>623</v>
      </c>
      <c r="C55" s="556" t="s">
        <v>1022</v>
      </c>
      <c r="D55" s="556" t="s">
        <v>1023</v>
      </c>
      <c r="E55" s="556" t="s">
        <v>633</v>
      </c>
      <c r="F55" s="556" t="s">
        <v>634</v>
      </c>
      <c r="G55" s="663">
        <f t="shared" si="11"/>
        <v>5746</v>
      </c>
      <c r="H55" s="146">
        <v>2493</v>
      </c>
      <c r="I55" s="532">
        <v>388600</v>
      </c>
      <c r="J55" s="160"/>
      <c r="K55" s="145">
        <f t="shared" si="12"/>
        <v>0.35</v>
      </c>
      <c r="L55" s="550">
        <f>SUM(G55-(G55*K55))</f>
        <v>3734.9</v>
      </c>
      <c r="M55" s="146">
        <f t="shared" si="13"/>
        <v>1620.45</v>
      </c>
      <c r="N55" s="358">
        <f t="shared" si="15"/>
        <v>0</v>
      </c>
      <c r="O55" s="338" t="s">
        <v>640</v>
      </c>
      <c r="P55" s="336">
        <v>0.57299999999999995</v>
      </c>
      <c r="Q55" s="370">
        <v>55</v>
      </c>
      <c r="S55" s="92"/>
      <c r="T55" s="92"/>
      <c r="U55" s="92"/>
    </row>
    <row r="56" spans="1:21" ht="15" customHeight="1">
      <c r="A56" s="661"/>
      <c r="B56" s="135" t="s">
        <v>602</v>
      </c>
      <c r="C56" s="667"/>
      <c r="D56" s="667"/>
      <c r="E56" s="556"/>
      <c r="F56" s="556"/>
      <c r="G56" s="664"/>
      <c r="H56" s="146">
        <v>3253</v>
      </c>
      <c r="I56" s="532"/>
      <c r="J56" s="160"/>
      <c r="K56" s="145">
        <f t="shared" si="12"/>
        <v>0.35</v>
      </c>
      <c r="L56" s="550"/>
      <c r="M56" s="146">
        <f t="shared" si="13"/>
        <v>2114.4499999999998</v>
      </c>
      <c r="N56" s="358">
        <f t="shared" si="15"/>
        <v>0</v>
      </c>
      <c r="O56" s="338" t="s">
        <v>334</v>
      </c>
      <c r="P56" s="336">
        <v>0.45300000000000001</v>
      </c>
      <c r="Q56" s="370">
        <v>94</v>
      </c>
      <c r="S56" s="92"/>
      <c r="T56" s="92"/>
      <c r="U56" s="92"/>
    </row>
    <row r="57" spans="1:21" ht="41.25" customHeight="1">
      <c r="A57" s="652" t="s">
        <v>1313</v>
      </c>
      <c r="B57" s="653"/>
      <c r="C57" s="653"/>
      <c r="D57" s="653"/>
      <c r="E57" s="653"/>
      <c r="F57" s="653"/>
      <c r="G57" s="653"/>
      <c r="H57" s="653"/>
      <c r="I57" s="653"/>
      <c r="J57" s="653"/>
      <c r="K57" s="653"/>
      <c r="L57" s="653"/>
      <c r="M57" s="653"/>
      <c r="N57" s="149"/>
      <c r="O57" s="150"/>
      <c r="P57" s="150"/>
      <c r="Q57" s="399"/>
      <c r="S57" s="92"/>
      <c r="T57" s="92"/>
      <c r="U57" s="92"/>
    </row>
    <row r="58" spans="1:21" ht="30" customHeight="1">
      <c r="A58" s="537" t="s">
        <v>612</v>
      </c>
      <c r="B58" s="538"/>
      <c r="C58" s="538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9"/>
      <c r="S58" s="92"/>
      <c r="T58" s="92"/>
      <c r="U58" s="92"/>
    </row>
    <row r="59" spans="1:21" ht="15" customHeight="1">
      <c r="A59" s="669" t="s">
        <v>611</v>
      </c>
      <c r="B59" s="670"/>
      <c r="C59" s="670"/>
      <c r="D59" s="670"/>
      <c r="E59" s="670"/>
      <c r="F59" s="670"/>
      <c r="G59" s="670"/>
      <c r="H59" s="670"/>
      <c r="I59" s="670"/>
      <c r="J59" s="670"/>
      <c r="K59" s="670"/>
      <c r="L59" s="670"/>
      <c r="M59" s="670"/>
      <c r="N59" s="137"/>
      <c r="O59" s="138"/>
      <c r="P59" s="138"/>
      <c r="Q59" s="377"/>
      <c r="S59" s="92"/>
      <c r="T59" s="92"/>
      <c r="U59" s="92"/>
    </row>
    <row r="60" spans="1:21" ht="15" customHeight="1">
      <c r="A60" s="661" t="s">
        <v>1314</v>
      </c>
      <c r="B60" s="143" t="s">
        <v>1395</v>
      </c>
      <c r="C60" s="535" t="s">
        <v>124</v>
      </c>
      <c r="D60" s="535" t="s">
        <v>125</v>
      </c>
      <c r="E60" s="535" t="s">
        <v>1320</v>
      </c>
      <c r="F60" s="535" t="s">
        <v>204</v>
      </c>
      <c r="G60" s="663">
        <f t="shared" ref="G60" si="16">H60+H61</f>
        <v>2104</v>
      </c>
      <c r="H60" s="146">
        <v>1222</v>
      </c>
      <c r="I60" s="532">
        <v>142400</v>
      </c>
      <c r="J60" s="160"/>
      <c r="K60" s="145">
        <f t="shared" ref="K60:K83" si="17">$D$3</f>
        <v>0.35</v>
      </c>
      <c r="L60" s="550">
        <f>SUM(G60-(G60*K60))</f>
        <v>1367.6</v>
      </c>
      <c r="M60" s="146">
        <f t="shared" ref="M60:M81" si="18">SUM(H60-(H60*K60))</f>
        <v>794.3</v>
      </c>
      <c r="N60" s="358">
        <f t="shared" ref="N60:N65" si="19">J60*M60</f>
        <v>0</v>
      </c>
      <c r="O60" s="338" t="s">
        <v>638</v>
      </c>
      <c r="P60" s="336">
        <v>0.32800000000000001</v>
      </c>
      <c r="Q60" s="370">
        <v>34</v>
      </c>
      <c r="S60" s="92"/>
      <c r="T60" s="92"/>
      <c r="U60" s="92"/>
    </row>
    <row r="61" spans="1:21" ht="15" customHeight="1">
      <c r="A61" s="665"/>
      <c r="B61" s="143" t="s">
        <v>1233</v>
      </c>
      <c r="C61" s="536"/>
      <c r="D61" s="536"/>
      <c r="E61" s="535"/>
      <c r="F61" s="535"/>
      <c r="G61" s="664"/>
      <c r="H61" s="146">
        <v>882</v>
      </c>
      <c r="I61" s="532"/>
      <c r="J61" s="160"/>
      <c r="K61" s="145">
        <f t="shared" si="17"/>
        <v>0.35</v>
      </c>
      <c r="L61" s="550"/>
      <c r="M61" s="146">
        <f t="shared" si="18"/>
        <v>573.29999999999995</v>
      </c>
      <c r="N61" s="358">
        <f t="shared" si="19"/>
        <v>0</v>
      </c>
      <c r="O61" s="338" t="s">
        <v>887</v>
      </c>
      <c r="P61" s="336">
        <v>0.125</v>
      </c>
      <c r="Q61" s="367">
        <v>37</v>
      </c>
      <c r="S61" s="92"/>
      <c r="T61" s="92"/>
      <c r="U61" s="92"/>
    </row>
    <row r="62" spans="1:21" ht="15" customHeight="1">
      <c r="A62" s="661" t="s">
        <v>1315</v>
      </c>
      <c r="B62" s="143" t="s">
        <v>1396</v>
      </c>
      <c r="C62" s="555" t="s">
        <v>126</v>
      </c>
      <c r="D62" s="555" t="s">
        <v>127</v>
      </c>
      <c r="E62" s="555" t="s">
        <v>114</v>
      </c>
      <c r="F62" s="555" t="s">
        <v>603</v>
      </c>
      <c r="G62" s="663">
        <f t="shared" ref="G62" si="20">H62+H63</f>
        <v>2280</v>
      </c>
      <c r="H62" s="146">
        <v>1294</v>
      </c>
      <c r="I62" s="532">
        <v>154200</v>
      </c>
      <c r="J62" s="160"/>
      <c r="K62" s="145">
        <f t="shared" si="17"/>
        <v>0.35</v>
      </c>
      <c r="L62" s="550">
        <f>SUM(G62-(G62*K62))</f>
        <v>1482</v>
      </c>
      <c r="M62" s="146">
        <f t="shared" si="18"/>
        <v>841.1</v>
      </c>
      <c r="N62" s="358">
        <f t="shared" si="19"/>
        <v>0</v>
      </c>
      <c r="O62" s="338" t="s">
        <v>887</v>
      </c>
      <c r="P62" s="336">
        <v>0.125</v>
      </c>
      <c r="Q62" s="367">
        <v>37</v>
      </c>
      <c r="S62" s="92"/>
      <c r="T62" s="92"/>
      <c r="U62" s="92"/>
    </row>
    <row r="63" spans="1:21" ht="15" customHeight="1">
      <c r="A63" s="665"/>
      <c r="B63" s="143" t="s">
        <v>1234</v>
      </c>
      <c r="C63" s="662"/>
      <c r="D63" s="662"/>
      <c r="E63" s="555"/>
      <c r="F63" s="555"/>
      <c r="G63" s="664"/>
      <c r="H63" s="146">
        <v>986</v>
      </c>
      <c r="I63" s="532"/>
      <c r="J63" s="160"/>
      <c r="K63" s="145">
        <f t="shared" si="17"/>
        <v>0.35</v>
      </c>
      <c r="L63" s="550"/>
      <c r="M63" s="146">
        <f t="shared" si="18"/>
        <v>640.90000000000009</v>
      </c>
      <c r="N63" s="358">
        <f t="shared" si="19"/>
        <v>0</v>
      </c>
      <c r="O63" s="338" t="s">
        <v>319</v>
      </c>
      <c r="P63" s="336">
        <v>0.249</v>
      </c>
      <c r="Q63" s="367">
        <v>44</v>
      </c>
      <c r="S63" s="92"/>
      <c r="T63" s="92"/>
      <c r="U63" s="92"/>
    </row>
    <row r="64" spans="1:21" ht="15" customHeight="1">
      <c r="A64" s="661" t="s">
        <v>1316</v>
      </c>
      <c r="B64" s="143" t="s">
        <v>1397</v>
      </c>
      <c r="C64" s="555" t="s">
        <v>128</v>
      </c>
      <c r="D64" s="555" t="s">
        <v>129</v>
      </c>
      <c r="E64" s="555" t="s">
        <v>1174</v>
      </c>
      <c r="F64" s="555" t="s">
        <v>121</v>
      </c>
      <c r="G64" s="663">
        <f t="shared" ref="G64" si="21">H64+H65</f>
        <v>2619</v>
      </c>
      <c r="H64" s="146">
        <v>1530</v>
      </c>
      <c r="I64" s="532">
        <v>177200</v>
      </c>
      <c r="J64" s="160"/>
      <c r="K64" s="145">
        <f t="shared" si="17"/>
        <v>0.35</v>
      </c>
      <c r="L64" s="550">
        <f>SUM(G64-(G64*K64))</f>
        <v>1702.35</v>
      </c>
      <c r="M64" s="146">
        <f t="shared" si="18"/>
        <v>994.5</v>
      </c>
      <c r="N64" s="358">
        <f t="shared" si="19"/>
        <v>0</v>
      </c>
      <c r="O64" s="338" t="s">
        <v>639</v>
      </c>
      <c r="P64" s="336">
        <v>0.433</v>
      </c>
      <c r="Q64" s="367">
        <v>44</v>
      </c>
      <c r="S64" s="92"/>
      <c r="T64" s="92"/>
      <c r="U64" s="92"/>
    </row>
    <row r="65" spans="1:21" ht="15" customHeight="1">
      <c r="A65" s="665"/>
      <c r="B65" s="143" t="s">
        <v>1158</v>
      </c>
      <c r="C65" s="662"/>
      <c r="D65" s="662"/>
      <c r="E65" s="555"/>
      <c r="F65" s="555"/>
      <c r="G65" s="664"/>
      <c r="H65" s="146">
        <v>1089</v>
      </c>
      <c r="I65" s="532"/>
      <c r="J65" s="160"/>
      <c r="K65" s="145">
        <f t="shared" si="17"/>
        <v>0.35</v>
      </c>
      <c r="L65" s="550"/>
      <c r="M65" s="146">
        <f t="shared" si="18"/>
        <v>707.85</v>
      </c>
      <c r="N65" s="358">
        <f t="shared" si="19"/>
        <v>0</v>
      </c>
      <c r="O65" s="338" t="s">
        <v>888</v>
      </c>
      <c r="P65" s="336">
        <v>0.14599999999999999</v>
      </c>
      <c r="Q65" s="370">
        <v>40</v>
      </c>
      <c r="S65" s="92"/>
      <c r="T65" s="92"/>
      <c r="U65" s="92"/>
    </row>
    <row r="66" spans="1:21" ht="15" customHeight="1">
      <c r="A66" s="661" t="s">
        <v>1317</v>
      </c>
      <c r="B66" s="143" t="s">
        <v>1398</v>
      </c>
      <c r="C66" s="542" t="s">
        <v>541</v>
      </c>
      <c r="D66" s="542" t="s">
        <v>130</v>
      </c>
      <c r="E66" s="542" t="s">
        <v>1177</v>
      </c>
      <c r="F66" s="542" t="s">
        <v>99</v>
      </c>
      <c r="G66" s="663">
        <f t="shared" ref="G66" si="22">H66+H67</f>
        <v>3191</v>
      </c>
      <c r="H66" s="146">
        <v>1546</v>
      </c>
      <c r="I66" s="532">
        <v>215900</v>
      </c>
      <c r="J66" s="160"/>
      <c r="K66" s="145">
        <f t="shared" si="17"/>
        <v>0.35</v>
      </c>
      <c r="L66" s="550">
        <f>SUM(G66-(G66*K66))</f>
        <v>2074.15</v>
      </c>
      <c r="M66" s="146">
        <f t="shared" si="18"/>
        <v>1004.9000000000001</v>
      </c>
      <c r="N66" s="358">
        <f t="shared" ref="N66:N71" si="23">J66*M66</f>
        <v>0</v>
      </c>
      <c r="O66" s="338" t="s">
        <v>639</v>
      </c>
      <c r="P66" s="336">
        <v>0.433</v>
      </c>
      <c r="Q66" s="367">
        <v>44</v>
      </c>
      <c r="S66" s="92"/>
      <c r="T66" s="92"/>
      <c r="U66" s="40"/>
    </row>
    <row r="67" spans="1:21" ht="15" customHeight="1">
      <c r="A67" s="665"/>
      <c r="B67" s="143" t="s">
        <v>1161</v>
      </c>
      <c r="C67" s="668"/>
      <c r="D67" s="668"/>
      <c r="E67" s="542"/>
      <c r="F67" s="542"/>
      <c r="G67" s="664"/>
      <c r="H67" s="146">
        <v>1645</v>
      </c>
      <c r="I67" s="532"/>
      <c r="J67" s="160"/>
      <c r="K67" s="145">
        <f t="shared" si="17"/>
        <v>0.35</v>
      </c>
      <c r="L67" s="550"/>
      <c r="M67" s="146">
        <f t="shared" si="18"/>
        <v>1069.25</v>
      </c>
      <c r="N67" s="358">
        <f t="shared" si="23"/>
        <v>0</v>
      </c>
      <c r="O67" s="338" t="s">
        <v>888</v>
      </c>
      <c r="P67" s="336">
        <v>0.14599999999999999</v>
      </c>
      <c r="Q67" s="370">
        <v>42</v>
      </c>
      <c r="S67" s="92"/>
      <c r="T67" s="92"/>
      <c r="U67" s="92"/>
    </row>
    <row r="68" spans="1:21" ht="15" customHeight="1">
      <c r="A68" s="661" t="s">
        <v>1318</v>
      </c>
      <c r="B68" s="143" t="s">
        <v>1399</v>
      </c>
      <c r="C68" s="542" t="s">
        <v>541</v>
      </c>
      <c r="D68" s="542" t="s">
        <v>1321</v>
      </c>
      <c r="E68" s="542" t="s">
        <v>242</v>
      </c>
      <c r="F68" s="542" t="s">
        <v>1322</v>
      </c>
      <c r="G68" s="663">
        <f t="shared" ref="G68" si="24">H68+H69</f>
        <v>3497</v>
      </c>
      <c r="H68" s="146">
        <v>1559</v>
      </c>
      <c r="I68" s="532">
        <v>236500</v>
      </c>
      <c r="J68" s="160"/>
      <c r="K68" s="145">
        <f t="shared" si="17"/>
        <v>0.35</v>
      </c>
      <c r="L68" s="550">
        <f>SUM(G68-(G68*K68))</f>
        <v>2273.0500000000002</v>
      </c>
      <c r="M68" s="146">
        <f t="shared" ref="M68:M69" si="25">SUM(H68-(H68*K68))</f>
        <v>1013.35</v>
      </c>
      <c r="N68" s="358">
        <f t="shared" si="23"/>
        <v>0</v>
      </c>
      <c r="O68" s="338" t="s">
        <v>639</v>
      </c>
      <c r="P68" s="336">
        <v>0.433</v>
      </c>
      <c r="Q68" s="367">
        <v>43</v>
      </c>
      <c r="S68" s="92"/>
      <c r="T68" s="92"/>
      <c r="U68" s="40"/>
    </row>
    <row r="69" spans="1:21" ht="15" customHeight="1">
      <c r="A69" s="665"/>
      <c r="B69" s="143" t="s">
        <v>1164</v>
      </c>
      <c r="C69" s="668"/>
      <c r="D69" s="668"/>
      <c r="E69" s="542"/>
      <c r="F69" s="542"/>
      <c r="G69" s="664"/>
      <c r="H69" s="146">
        <v>1938</v>
      </c>
      <c r="I69" s="532"/>
      <c r="J69" s="160"/>
      <c r="K69" s="145">
        <f t="shared" si="17"/>
        <v>0.35</v>
      </c>
      <c r="L69" s="550"/>
      <c r="M69" s="146">
        <f t="shared" si="25"/>
        <v>1259.7</v>
      </c>
      <c r="N69" s="358">
        <f t="shared" si="23"/>
        <v>0</v>
      </c>
      <c r="O69" s="338" t="s">
        <v>891</v>
      </c>
      <c r="P69" s="336">
        <v>0.184</v>
      </c>
      <c r="Q69" s="370">
        <v>46</v>
      </c>
      <c r="S69" s="92"/>
      <c r="T69" s="92"/>
      <c r="U69" s="92"/>
    </row>
    <row r="70" spans="1:21" ht="15" customHeight="1">
      <c r="A70" s="661" t="s">
        <v>1319</v>
      </c>
      <c r="B70" s="143" t="s">
        <v>1400</v>
      </c>
      <c r="C70" s="542" t="s">
        <v>556</v>
      </c>
      <c r="D70" s="542" t="s">
        <v>134</v>
      </c>
      <c r="E70" s="542" t="s">
        <v>89</v>
      </c>
      <c r="F70" s="542" t="s">
        <v>628</v>
      </c>
      <c r="G70" s="663">
        <f t="shared" ref="G70" si="26">H70+H71</f>
        <v>4106</v>
      </c>
      <c r="H70" s="146">
        <v>1639</v>
      </c>
      <c r="I70" s="532">
        <v>277600</v>
      </c>
      <c r="J70" s="160"/>
      <c r="K70" s="145">
        <f t="shared" si="17"/>
        <v>0.35</v>
      </c>
      <c r="L70" s="550">
        <f>SUM(G70-(G70*K70))</f>
        <v>2668.9</v>
      </c>
      <c r="M70" s="146">
        <f t="shared" si="18"/>
        <v>1065.3499999999999</v>
      </c>
      <c r="N70" s="358">
        <f t="shared" si="23"/>
        <v>0</v>
      </c>
      <c r="O70" s="338" t="s">
        <v>639</v>
      </c>
      <c r="P70" s="336">
        <v>0.433</v>
      </c>
      <c r="Q70" s="367">
        <v>44</v>
      </c>
      <c r="S70" s="92"/>
      <c r="T70" s="92"/>
      <c r="U70" s="40"/>
    </row>
    <row r="71" spans="1:21" ht="15" customHeight="1">
      <c r="A71" s="665"/>
      <c r="B71" s="143" t="s">
        <v>1167</v>
      </c>
      <c r="C71" s="668"/>
      <c r="D71" s="668"/>
      <c r="E71" s="542"/>
      <c r="F71" s="542"/>
      <c r="G71" s="664"/>
      <c r="H71" s="146">
        <v>2467</v>
      </c>
      <c r="I71" s="532"/>
      <c r="J71" s="160"/>
      <c r="K71" s="145">
        <f t="shared" si="17"/>
        <v>0.35</v>
      </c>
      <c r="L71" s="550"/>
      <c r="M71" s="146">
        <f t="shared" si="18"/>
        <v>1603.5500000000002</v>
      </c>
      <c r="N71" s="358">
        <f t="shared" si="23"/>
        <v>0</v>
      </c>
      <c r="O71" s="338" t="s">
        <v>1185</v>
      </c>
      <c r="P71" s="336">
        <v>0.23699999999999999</v>
      </c>
      <c r="Q71" s="370">
        <v>60</v>
      </c>
      <c r="S71" s="92"/>
      <c r="T71" s="92"/>
      <c r="U71" s="92"/>
    </row>
    <row r="72" spans="1:21" ht="15" customHeight="1">
      <c r="A72" s="661" t="s">
        <v>1332</v>
      </c>
      <c r="B72" s="143" t="s">
        <v>1401</v>
      </c>
      <c r="C72" s="542" t="s">
        <v>1323</v>
      </c>
      <c r="D72" s="542" t="s">
        <v>1324</v>
      </c>
      <c r="E72" s="542" t="s">
        <v>606</v>
      </c>
      <c r="F72" s="542" t="s">
        <v>1123</v>
      </c>
      <c r="G72" s="663">
        <f t="shared" ref="G72" si="27">H72+H73</f>
        <v>4420</v>
      </c>
      <c r="H72" s="144">
        <v>1712</v>
      </c>
      <c r="I72" s="532">
        <v>298900</v>
      </c>
      <c r="J72" s="160"/>
      <c r="K72" s="145">
        <f t="shared" si="17"/>
        <v>0.35</v>
      </c>
      <c r="L72" s="550">
        <f>SUM(G72-(G72*K72))</f>
        <v>2873</v>
      </c>
      <c r="M72" s="144">
        <f t="shared" si="18"/>
        <v>1112.8000000000002</v>
      </c>
      <c r="N72" s="358">
        <f t="shared" ref="N72:N81" si="28">J72*M72</f>
        <v>0</v>
      </c>
      <c r="O72" s="338" t="s">
        <v>640</v>
      </c>
      <c r="P72" s="336">
        <v>0.57299999999999995</v>
      </c>
      <c r="Q72" s="370">
        <v>56</v>
      </c>
      <c r="S72" s="92"/>
      <c r="T72" s="92"/>
      <c r="U72" s="40"/>
    </row>
    <row r="73" spans="1:21" ht="15" customHeight="1">
      <c r="A73" s="665"/>
      <c r="B73" s="143" t="s">
        <v>1169</v>
      </c>
      <c r="C73" s="668"/>
      <c r="D73" s="668"/>
      <c r="E73" s="542"/>
      <c r="F73" s="542"/>
      <c r="G73" s="664"/>
      <c r="H73" s="144">
        <v>2708</v>
      </c>
      <c r="I73" s="532"/>
      <c r="J73" s="160"/>
      <c r="K73" s="145">
        <f t="shared" si="17"/>
        <v>0.35</v>
      </c>
      <c r="L73" s="550"/>
      <c r="M73" s="144">
        <f t="shared" si="18"/>
        <v>1760.2</v>
      </c>
      <c r="N73" s="358">
        <f t="shared" si="28"/>
        <v>0</v>
      </c>
      <c r="O73" s="338" t="s">
        <v>1185</v>
      </c>
      <c r="P73" s="336">
        <v>0.23699999999999999</v>
      </c>
      <c r="Q73" s="370">
        <v>60</v>
      </c>
      <c r="S73" s="92"/>
      <c r="T73" s="92"/>
      <c r="U73" s="92"/>
    </row>
    <row r="74" spans="1:21" ht="15" customHeight="1">
      <c r="A74" s="661" t="s">
        <v>1329</v>
      </c>
      <c r="B74" s="143" t="s">
        <v>1401</v>
      </c>
      <c r="C74" s="542" t="s">
        <v>1323</v>
      </c>
      <c r="D74" s="542" t="s">
        <v>1324</v>
      </c>
      <c r="E74" s="542" t="s">
        <v>606</v>
      </c>
      <c r="F74" s="542" t="s">
        <v>95</v>
      </c>
      <c r="G74" s="663">
        <f t="shared" ref="G74" si="29">H74+H75</f>
        <v>4827</v>
      </c>
      <c r="H74" s="144">
        <v>1712</v>
      </c>
      <c r="I74" s="532">
        <v>326400</v>
      </c>
      <c r="J74" s="160"/>
      <c r="K74" s="145">
        <f t="shared" si="17"/>
        <v>0.35</v>
      </c>
      <c r="L74" s="550">
        <f>SUM(G74-(G74*K74))</f>
        <v>3137.55</v>
      </c>
      <c r="M74" s="144">
        <f>SUM(H74-(H74*K74))</f>
        <v>1112.8000000000002</v>
      </c>
      <c r="N74" s="358">
        <f>J74*M74</f>
        <v>0</v>
      </c>
      <c r="O74" s="338" t="s">
        <v>640</v>
      </c>
      <c r="P74" s="336">
        <v>0.57299999999999995</v>
      </c>
      <c r="Q74" s="370">
        <v>56</v>
      </c>
      <c r="S74" s="92"/>
      <c r="T74" s="92"/>
      <c r="U74" s="40"/>
    </row>
    <row r="75" spans="1:21" ht="15" customHeight="1">
      <c r="A75" s="665"/>
      <c r="B75" s="143" t="s">
        <v>1186</v>
      </c>
      <c r="C75" s="668"/>
      <c r="D75" s="668"/>
      <c r="E75" s="542"/>
      <c r="F75" s="542"/>
      <c r="G75" s="664"/>
      <c r="H75" s="144">
        <v>3115</v>
      </c>
      <c r="I75" s="532"/>
      <c r="J75" s="160"/>
      <c r="K75" s="145">
        <f t="shared" si="17"/>
        <v>0.35</v>
      </c>
      <c r="L75" s="550"/>
      <c r="M75" s="144">
        <f>SUM(H75-(H75*K75))</f>
        <v>2024.75</v>
      </c>
      <c r="N75" s="358">
        <f>J75*M75</f>
        <v>0</v>
      </c>
      <c r="O75" s="338" t="s">
        <v>1185</v>
      </c>
      <c r="P75" s="336">
        <v>0.23699999999999999</v>
      </c>
      <c r="Q75" s="370">
        <v>61</v>
      </c>
      <c r="S75" s="92"/>
      <c r="T75" s="92"/>
      <c r="U75" s="92"/>
    </row>
    <row r="76" spans="1:21" ht="15" customHeight="1">
      <c r="A76" s="661" t="s">
        <v>1333</v>
      </c>
      <c r="B76" s="143" t="s">
        <v>1402</v>
      </c>
      <c r="C76" s="542" t="s">
        <v>1020</v>
      </c>
      <c r="D76" s="542" t="s">
        <v>1325</v>
      </c>
      <c r="E76" s="542" t="s">
        <v>581</v>
      </c>
      <c r="F76" s="542" t="s">
        <v>1326</v>
      </c>
      <c r="G76" s="663">
        <f t="shared" ref="G76" si="30">H76+H77</f>
        <v>4765</v>
      </c>
      <c r="H76" s="146">
        <v>1790</v>
      </c>
      <c r="I76" s="532">
        <v>322300</v>
      </c>
      <c r="J76" s="160"/>
      <c r="K76" s="145">
        <f t="shared" si="17"/>
        <v>0.35</v>
      </c>
      <c r="L76" s="550">
        <f>SUM(G76-(G76*K76))</f>
        <v>3097.25</v>
      </c>
      <c r="M76" s="146">
        <f t="shared" si="18"/>
        <v>1163.5</v>
      </c>
      <c r="N76" s="358">
        <f t="shared" si="28"/>
        <v>0</v>
      </c>
      <c r="O76" s="338" t="s">
        <v>640</v>
      </c>
      <c r="P76" s="336">
        <v>0.57299999999999995</v>
      </c>
      <c r="Q76" s="370">
        <v>56</v>
      </c>
      <c r="S76" s="92"/>
      <c r="T76" s="92"/>
      <c r="U76" s="40"/>
    </row>
    <row r="77" spans="1:21" ht="15" customHeight="1">
      <c r="A77" s="665"/>
      <c r="B77" s="143" t="s">
        <v>1171</v>
      </c>
      <c r="C77" s="668"/>
      <c r="D77" s="668"/>
      <c r="E77" s="542"/>
      <c r="F77" s="542"/>
      <c r="G77" s="664"/>
      <c r="H77" s="146">
        <v>2975</v>
      </c>
      <c r="I77" s="532"/>
      <c r="J77" s="160"/>
      <c r="K77" s="145">
        <f t="shared" si="17"/>
        <v>0.35</v>
      </c>
      <c r="L77" s="550"/>
      <c r="M77" s="146">
        <f t="shared" si="18"/>
        <v>1933.75</v>
      </c>
      <c r="N77" s="358">
        <f t="shared" si="28"/>
        <v>0</v>
      </c>
      <c r="O77" s="338" t="s">
        <v>1192</v>
      </c>
      <c r="P77" s="336">
        <v>0.3</v>
      </c>
      <c r="Q77" s="370">
        <v>75</v>
      </c>
      <c r="S77" s="92"/>
      <c r="T77" s="92"/>
      <c r="U77" s="92"/>
    </row>
    <row r="78" spans="1:21" ht="15" customHeight="1">
      <c r="A78" s="661" t="s">
        <v>1330</v>
      </c>
      <c r="B78" s="143" t="s">
        <v>1402</v>
      </c>
      <c r="C78" s="542" t="s">
        <v>1020</v>
      </c>
      <c r="D78" s="542" t="s">
        <v>1325</v>
      </c>
      <c r="E78" s="542" t="s">
        <v>581</v>
      </c>
      <c r="F78" s="542" t="s">
        <v>1326</v>
      </c>
      <c r="G78" s="663">
        <f t="shared" ref="G78" si="31">H78+H79</f>
        <v>5211</v>
      </c>
      <c r="H78" s="146">
        <v>1790</v>
      </c>
      <c r="I78" s="532">
        <v>352400</v>
      </c>
      <c r="J78" s="160"/>
      <c r="K78" s="145">
        <f t="shared" si="17"/>
        <v>0.35</v>
      </c>
      <c r="L78" s="550">
        <f>SUM(G78-(G78*K78))</f>
        <v>3387.15</v>
      </c>
      <c r="M78" s="146">
        <f>SUM(H78-(H78*K78))</f>
        <v>1163.5</v>
      </c>
      <c r="N78" s="358">
        <f>J78*M78</f>
        <v>0</v>
      </c>
      <c r="O78" s="338" t="s">
        <v>640</v>
      </c>
      <c r="P78" s="336">
        <v>0.57299999999999995</v>
      </c>
      <c r="Q78" s="370">
        <v>56</v>
      </c>
      <c r="S78" s="92"/>
      <c r="T78" s="92"/>
      <c r="U78" s="40"/>
    </row>
    <row r="79" spans="1:21" ht="15" customHeight="1">
      <c r="A79" s="665"/>
      <c r="B79" s="143" t="s">
        <v>1194</v>
      </c>
      <c r="C79" s="668"/>
      <c r="D79" s="668"/>
      <c r="E79" s="542"/>
      <c r="F79" s="542"/>
      <c r="G79" s="664"/>
      <c r="H79" s="146">
        <v>3421</v>
      </c>
      <c r="I79" s="532"/>
      <c r="J79" s="160"/>
      <c r="K79" s="145">
        <f t="shared" si="17"/>
        <v>0.35</v>
      </c>
      <c r="L79" s="550"/>
      <c r="M79" s="146">
        <f>SUM(H79-(H79*K79))</f>
        <v>2223.65</v>
      </c>
      <c r="N79" s="358">
        <f>J79*M79</f>
        <v>0</v>
      </c>
      <c r="O79" s="338" t="s">
        <v>1192</v>
      </c>
      <c r="P79" s="336">
        <v>0.3</v>
      </c>
      <c r="Q79" s="370">
        <v>75</v>
      </c>
      <c r="S79" s="92"/>
      <c r="T79" s="92"/>
      <c r="U79" s="92"/>
    </row>
    <row r="80" spans="1:21" ht="15" customHeight="1">
      <c r="A80" s="661" t="s">
        <v>1334</v>
      </c>
      <c r="B80" s="143" t="s">
        <v>1403</v>
      </c>
      <c r="C80" s="556" t="s">
        <v>1022</v>
      </c>
      <c r="D80" s="632" t="s">
        <v>1327</v>
      </c>
      <c r="E80" s="556" t="s">
        <v>633</v>
      </c>
      <c r="F80" s="556" t="s">
        <v>1328</v>
      </c>
      <c r="G80" s="663">
        <f t="shared" ref="G80" si="32">H80+H81</f>
        <v>5390</v>
      </c>
      <c r="H80" s="146">
        <v>2137</v>
      </c>
      <c r="I80" s="532">
        <v>364500</v>
      </c>
      <c r="J80" s="160"/>
      <c r="K80" s="145">
        <f t="shared" si="17"/>
        <v>0.35</v>
      </c>
      <c r="L80" s="550">
        <f>SUM(G80-(G80*K80))</f>
        <v>3503.5</v>
      </c>
      <c r="M80" s="146">
        <f t="shared" si="18"/>
        <v>1389.0500000000002</v>
      </c>
      <c r="N80" s="358">
        <f t="shared" si="28"/>
        <v>0</v>
      </c>
      <c r="O80" s="338" t="s">
        <v>640</v>
      </c>
      <c r="P80" s="336">
        <v>0.57299999999999995</v>
      </c>
      <c r="Q80" s="370">
        <v>56</v>
      </c>
      <c r="S80" s="92"/>
      <c r="T80" s="92"/>
      <c r="U80" s="40"/>
    </row>
    <row r="81" spans="1:56" ht="15" customHeight="1">
      <c r="A81" s="665"/>
      <c r="B81" s="143" t="s">
        <v>1173</v>
      </c>
      <c r="C81" s="667"/>
      <c r="D81" s="667"/>
      <c r="E81" s="556"/>
      <c r="F81" s="556"/>
      <c r="G81" s="664"/>
      <c r="H81" s="146">
        <v>3253</v>
      </c>
      <c r="I81" s="532"/>
      <c r="J81" s="160"/>
      <c r="K81" s="145">
        <f t="shared" si="17"/>
        <v>0.35</v>
      </c>
      <c r="L81" s="550"/>
      <c r="M81" s="146">
        <f t="shared" si="18"/>
        <v>2114.4499999999998</v>
      </c>
      <c r="N81" s="358">
        <f t="shared" si="28"/>
        <v>0</v>
      </c>
      <c r="O81" s="338" t="s">
        <v>1192</v>
      </c>
      <c r="P81" s="336">
        <v>0.3</v>
      </c>
      <c r="Q81" s="370">
        <v>75</v>
      </c>
      <c r="S81" s="92"/>
      <c r="T81" s="92"/>
      <c r="U81" s="92"/>
    </row>
    <row r="82" spans="1:56" ht="15" customHeight="1">
      <c r="A82" s="661" t="s">
        <v>1331</v>
      </c>
      <c r="B82" s="143" t="s">
        <v>1403</v>
      </c>
      <c r="C82" s="556" t="s">
        <v>1022</v>
      </c>
      <c r="D82" s="632" t="s">
        <v>1327</v>
      </c>
      <c r="E82" s="556" t="s">
        <v>633</v>
      </c>
      <c r="F82" s="556" t="s">
        <v>1328</v>
      </c>
      <c r="G82" s="663">
        <f t="shared" ref="G82" si="33">H82+H83</f>
        <v>5877</v>
      </c>
      <c r="H82" s="146">
        <v>2137</v>
      </c>
      <c r="I82" s="532">
        <v>397400</v>
      </c>
      <c r="J82" s="160"/>
      <c r="K82" s="145">
        <f t="shared" si="17"/>
        <v>0.35</v>
      </c>
      <c r="L82" s="550">
        <f>SUM(G82-(G82*K82))</f>
        <v>3820.05</v>
      </c>
      <c r="M82" s="146">
        <f t="shared" ref="M82:M83" si="34">SUM(H82-(H82*K82))</f>
        <v>1389.0500000000002</v>
      </c>
      <c r="N82" s="358">
        <f t="shared" ref="N82:N83" si="35">J82*M82</f>
        <v>0</v>
      </c>
      <c r="O82" s="338" t="s">
        <v>640</v>
      </c>
      <c r="P82" s="336">
        <v>0.57299999999999995</v>
      </c>
      <c r="Q82" s="370">
        <v>56</v>
      </c>
      <c r="S82" s="92"/>
      <c r="T82" s="92"/>
      <c r="U82" s="40"/>
    </row>
    <row r="83" spans="1:56" ht="15" customHeight="1">
      <c r="A83" s="665"/>
      <c r="B83" s="143" t="s">
        <v>1200</v>
      </c>
      <c r="C83" s="667"/>
      <c r="D83" s="667"/>
      <c r="E83" s="556"/>
      <c r="F83" s="556"/>
      <c r="G83" s="664"/>
      <c r="H83" s="146">
        <v>3740</v>
      </c>
      <c r="I83" s="532"/>
      <c r="J83" s="160"/>
      <c r="K83" s="145">
        <f t="shared" si="17"/>
        <v>0.35</v>
      </c>
      <c r="L83" s="550"/>
      <c r="M83" s="146">
        <f t="shared" si="34"/>
        <v>2431</v>
      </c>
      <c r="N83" s="358">
        <f t="shared" si="35"/>
        <v>0</v>
      </c>
      <c r="O83" s="338" t="s">
        <v>1192</v>
      </c>
      <c r="P83" s="336">
        <v>0.3</v>
      </c>
      <c r="Q83" s="370">
        <v>75</v>
      </c>
      <c r="S83" s="92"/>
      <c r="T83" s="92"/>
      <c r="U83" s="92"/>
    </row>
    <row r="84" spans="1:56" ht="41.25" customHeight="1">
      <c r="A84" s="652" t="s">
        <v>1024</v>
      </c>
      <c r="B84" s="653"/>
      <c r="C84" s="653"/>
      <c r="D84" s="653"/>
      <c r="E84" s="653"/>
      <c r="F84" s="653"/>
      <c r="G84" s="653"/>
      <c r="H84" s="653"/>
      <c r="I84" s="653"/>
      <c r="J84" s="653"/>
      <c r="K84" s="653"/>
      <c r="L84" s="653"/>
      <c r="M84" s="653"/>
      <c r="N84" s="149"/>
      <c r="O84" s="150"/>
      <c r="P84" s="150"/>
      <c r="Q84" s="399"/>
      <c r="S84" s="92"/>
      <c r="T84" s="92"/>
      <c r="U84" s="92"/>
      <c r="BA84" s="56"/>
      <c r="BB84" s="56"/>
      <c r="BC84" s="56"/>
      <c r="BD84" s="56"/>
    </row>
    <row r="85" spans="1:56" ht="30" customHeight="1">
      <c r="A85" s="537" t="s">
        <v>158</v>
      </c>
      <c r="B85" s="538"/>
      <c r="C85" s="538"/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538"/>
      <c r="P85" s="538"/>
      <c r="Q85" s="539"/>
      <c r="S85" s="92"/>
      <c r="T85" s="92"/>
      <c r="U85" s="92"/>
    </row>
    <row r="86" spans="1:56" s="73" customFormat="1" ht="19.5" customHeight="1">
      <c r="A86" s="669" t="s">
        <v>496</v>
      </c>
      <c r="B86" s="670"/>
      <c r="C86" s="670"/>
      <c r="D86" s="670"/>
      <c r="E86" s="670"/>
      <c r="F86" s="670"/>
      <c r="G86" s="670"/>
      <c r="H86" s="670"/>
      <c r="I86" s="670"/>
      <c r="J86" s="670"/>
      <c r="K86" s="670"/>
      <c r="L86" s="670"/>
      <c r="M86" s="670"/>
      <c r="N86" s="137"/>
      <c r="O86" s="138"/>
      <c r="P86" s="138"/>
      <c r="Q86" s="377"/>
      <c r="R86" s="57"/>
      <c r="S86" s="92"/>
      <c r="T86" s="92"/>
      <c r="U86" s="92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</row>
    <row r="87" spans="1:56" ht="15.75" customHeight="1">
      <c r="A87" s="530" t="s">
        <v>266</v>
      </c>
      <c r="B87" s="135" t="s">
        <v>201</v>
      </c>
      <c r="C87" s="542" t="s">
        <v>541</v>
      </c>
      <c r="D87" s="542" t="s">
        <v>130</v>
      </c>
      <c r="E87" s="542" t="s">
        <v>117</v>
      </c>
      <c r="F87" s="542" t="s">
        <v>542</v>
      </c>
      <c r="G87" s="663">
        <f>H87+H88</f>
        <v>2394</v>
      </c>
      <c r="H87" s="146">
        <v>1491</v>
      </c>
      <c r="I87" s="532">
        <v>161900</v>
      </c>
      <c r="J87" s="160"/>
      <c r="K87" s="145">
        <f t="shared" ref="K87:K98" si="36">$D$3</f>
        <v>0.35</v>
      </c>
      <c r="L87" s="550">
        <f>SUM(G87-(G87*K87))</f>
        <v>1556.1</v>
      </c>
      <c r="M87" s="146">
        <f t="shared" ref="M87:M98" si="37">SUM(H87-(H87*K87))</f>
        <v>969.15</v>
      </c>
      <c r="N87" s="358">
        <f>J87*M87</f>
        <v>0</v>
      </c>
      <c r="O87" s="338" t="s">
        <v>335</v>
      </c>
      <c r="P87" s="336">
        <v>0.313</v>
      </c>
      <c r="Q87" s="367">
        <v>45</v>
      </c>
      <c r="S87" s="92"/>
      <c r="T87" s="92"/>
      <c r="U87" s="92"/>
      <c r="BA87" s="56"/>
      <c r="BB87" s="56"/>
      <c r="BC87" s="56"/>
      <c r="BD87" s="56"/>
    </row>
    <row r="88" spans="1:56" ht="15" customHeight="1">
      <c r="A88" s="531"/>
      <c r="B88" s="135" t="s">
        <v>821</v>
      </c>
      <c r="C88" s="668"/>
      <c r="D88" s="668"/>
      <c r="E88" s="542"/>
      <c r="F88" s="542"/>
      <c r="G88" s="664"/>
      <c r="H88" s="146">
        <v>903</v>
      </c>
      <c r="I88" s="532"/>
      <c r="J88" s="160"/>
      <c r="K88" s="145">
        <f t="shared" si="36"/>
        <v>0.35</v>
      </c>
      <c r="L88" s="550"/>
      <c r="M88" s="146">
        <f t="shared" si="37"/>
        <v>586.95000000000005</v>
      </c>
      <c r="N88" s="358">
        <f>J88*M88</f>
        <v>0</v>
      </c>
      <c r="O88" s="338" t="s">
        <v>319</v>
      </c>
      <c r="P88" s="336">
        <v>0.249</v>
      </c>
      <c r="Q88" s="367">
        <v>48</v>
      </c>
      <c r="S88" s="92"/>
      <c r="T88" s="92"/>
      <c r="U88" s="92"/>
      <c r="BA88" s="56"/>
      <c r="BB88" s="56"/>
      <c r="BC88" s="56"/>
      <c r="BD88" s="56"/>
    </row>
    <row r="89" spans="1:56" s="69" customFormat="1" ht="15" customHeight="1">
      <c r="A89" s="530" t="s">
        <v>297</v>
      </c>
      <c r="B89" s="135" t="s">
        <v>289</v>
      </c>
      <c r="C89" s="542" t="s">
        <v>556</v>
      </c>
      <c r="D89" s="542" t="s">
        <v>134</v>
      </c>
      <c r="E89" s="542" t="s">
        <v>89</v>
      </c>
      <c r="F89" s="542" t="s">
        <v>140</v>
      </c>
      <c r="G89" s="663">
        <f>H89+H90</f>
        <v>3243</v>
      </c>
      <c r="H89" s="146">
        <v>1575</v>
      </c>
      <c r="I89" s="532">
        <v>219300</v>
      </c>
      <c r="J89" s="160"/>
      <c r="K89" s="145">
        <f t="shared" si="36"/>
        <v>0.35</v>
      </c>
      <c r="L89" s="550">
        <f>SUM(G89-(G89*K89))</f>
        <v>2107.9499999999998</v>
      </c>
      <c r="M89" s="146">
        <f t="shared" si="37"/>
        <v>1023.75</v>
      </c>
      <c r="N89" s="358">
        <f>J89*M89</f>
        <v>0</v>
      </c>
      <c r="O89" s="338" t="s">
        <v>335</v>
      </c>
      <c r="P89" s="336">
        <v>0.313</v>
      </c>
      <c r="Q89" s="367">
        <v>47</v>
      </c>
      <c r="R89" s="57"/>
      <c r="S89" s="92"/>
      <c r="T89" s="92"/>
      <c r="U89" s="92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6"/>
      <c r="BB89" s="56"/>
      <c r="BC89" s="56"/>
      <c r="BD89" s="56"/>
    </row>
    <row r="90" spans="1:56" s="69" customFormat="1" ht="15" customHeight="1">
      <c r="A90" s="531"/>
      <c r="B90" s="135" t="s">
        <v>285</v>
      </c>
      <c r="C90" s="668"/>
      <c r="D90" s="668"/>
      <c r="E90" s="542"/>
      <c r="F90" s="542"/>
      <c r="G90" s="664"/>
      <c r="H90" s="146">
        <v>1668</v>
      </c>
      <c r="I90" s="532"/>
      <c r="J90" s="160"/>
      <c r="K90" s="145">
        <f t="shared" si="36"/>
        <v>0.35</v>
      </c>
      <c r="L90" s="550"/>
      <c r="M90" s="146">
        <f t="shared" si="37"/>
        <v>1084.2</v>
      </c>
      <c r="N90" s="358">
        <f>J90*M90</f>
        <v>0</v>
      </c>
      <c r="O90" s="338" t="s">
        <v>320</v>
      </c>
      <c r="P90" s="336">
        <v>0.45300000000000001</v>
      </c>
      <c r="Q90" s="367">
        <v>68</v>
      </c>
      <c r="R90" s="57"/>
      <c r="S90" s="92"/>
      <c r="T90" s="92"/>
      <c r="U90" s="92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6"/>
      <c r="BB90" s="56"/>
      <c r="BC90" s="56"/>
      <c r="BD90" s="56"/>
    </row>
    <row r="91" spans="1:56" s="66" customFormat="1" ht="15" customHeight="1">
      <c r="A91" s="530" t="s">
        <v>298</v>
      </c>
      <c r="B91" s="135" t="s">
        <v>317</v>
      </c>
      <c r="C91" s="542" t="s">
        <v>1018</v>
      </c>
      <c r="D91" s="542" t="s">
        <v>1019</v>
      </c>
      <c r="E91" s="542" t="s">
        <v>543</v>
      </c>
      <c r="F91" s="542" t="s">
        <v>116</v>
      </c>
      <c r="G91" s="663">
        <f>H91+H92</f>
        <v>4091</v>
      </c>
      <c r="H91" s="144">
        <v>2063</v>
      </c>
      <c r="I91" s="532">
        <v>276600</v>
      </c>
      <c r="J91" s="160"/>
      <c r="K91" s="145">
        <f t="shared" si="36"/>
        <v>0.35</v>
      </c>
      <c r="L91" s="550">
        <f>SUM(G91-(G91*K91))</f>
        <v>2659.15</v>
      </c>
      <c r="M91" s="144">
        <f t="shared" si="37"/>
        <v>1340.95</v>
      </c>
      <c r="N91" s="358">
        <f t="shared" ref="N91:N143" si="38">J91*M91</f>
        <v>0</v>
      </c>
      <c r="O91" s="338" t="s">
        <v>335</v>
      </c>
      <c r="P91" s="336">
        <v>0.313</v>
      </c>
      <c r="Q91" s="367">
        <v>47</v>
      </c>
      <c r="R91" s="64"/>
      <c r="S91" s="92"/>
      <c r="T91" s="92"/>
      <c r="U91" s="92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7"/>
      <c r="BB91" s="67"/>
      <c r="BC91" s="67"/>
      <c r="BD91" s="67"/>
    </row>
    <row r="92" spans="1:56" s="66" customFormat="1" ht="15" customHeight="1">
      <c r="A92" s="530"/>
      <c r="B92" s="135" t="s">
        <v>286</v>
      </c>
      <c r="C92" s="668"/>
      <c r="D92" s="668"/>
      <c r="E92" s="542"/>
      <c r="F92" s="542"/>
      <c r="G92" s="664"/>
      <c r="H92" s="144">
        <v>2028</v>
      </c>
      <c r="I92" s="532"/>
      <c r="J92" s="160"/>
      <c r="K92" s="145">
        <f t="shared" si="36"/>
        <v>0.35</v>
      </c>
      <c r="L92" s="550"/>
      <c r="M92" s="144">
        <f t="shared" si="37"/>
        <v>1318.2</v>
      </c>
      <c r="N92" s="358">
        <f t="shared" si="38"/>
        <v>0</v>
      </c>
      <c r="O92" s="338" t="s">
        <v>320</v>
      </c>
      <c r="P92" s="336">
        <v>0.45300000000000001</v>
      </c>
      <c r="Q92" s="367">
        <v>68</v>
      </c>
      <c r="R92" s="64"/>
      <c r="S92" s="92"/>
      <c r="T92" s="92"/>
      <c r="U92" s="92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7"/>
      <c r="BB92" s="67"/>
      <c r="BC92" s="67"/>
      <c r="BD92" s="67"/>
    </row>
    <row r="93" spans="1:56" s="66" customFormat="1" ht="15" customHeight="1">
      <c r="A93" s="530" t="s">
        <v>1752</v>
      </c>
      <c r="B93" s="135" t="s">
        <v>190</v>
      </c>
      <c r="C93" s="542" t="s">
        <v>1025</v>
      </c>
      <c r="D93" s="542" t="s">
        <v>1026</v>
      </c>
      <c r="E93" s="542" t="s">
        <v>137</v>
      </c>
      <c r="F93" s="542" t="s">
        <v>143</v>
      </c>
      <c r="G93" s="663">
        <f>H93+H94</f>
        <v>4318</v>
      </c>
      <c r="H93" s="146">
        <v>2042</v>
      </c>
      <c r="I93" s="532">
        <v>292000</v>
      </c>
      <c r="J93" s="160"/>
      <c r="K93" s="145">
        <f t="shared" si="36"/>
        <v>0.35</v>
      </c>
      <c r="L93" s="550">
        <f>SUM(G93-(G93*K93))</f>
        <v>2806.7</v>
      </c>
      <c r="M93" s="146">
        <f t="shared" si="37"/>
        <v>1327.3000000000002</v>
      </c>
      <c r="N93" s="358">
        <f t="shared" si="38"/>
        <v>0</v>
      </c>
      <c r="O93" s="338" t="s">
        <v>335</v>
      </c>
      <c r="P93" s="174">
        <v>0.313</v>
      </c>
      <c r="Q93" s="370">
        <v>47</v>
      </c>
      <c r="R93" s="64"/>
      <c r="S93" s="92"/>
      <c r="T93" s="92"/>
      <c r="U93" s="92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7"/>
      <c r="BB93" s="67"/>
      <c r="BC93" s="67"/>
      <c r="BD93" s="67"/>
    </row>
    <row r="94" spans="1:56" s="66" customFormat="1" ht="15" customHeight="1">
      <c r="A94" s="530"/>
      <c r="B94" s="135" t="s">
        <v>184</v>
      </c>
      <c r="C94" s="668"/>
      <c r="D94" s="668"/>
      <c r="E94" s="542"/>
      <c r="F94" s="542"/>
      <c r="G94" s="664"/>
      <c r="H94" s="146">
        <v>2276</v>
      </c>
      <c r="I94" s="532"/>
      <c r="J94" s="160"/>
      <c r="K94" s="145">
        <f t="shared" si="36"/>
        <v>0.35</v>
      </c>
      <c r="L94" s="550"/>
      <c r="M94" s="146">
        <f t="shared" si="37"/>
        <v>1479.4</v>
      </c>
      <c r="N94" s="358">
        <f t="shared" si="38"/>
        <v>0</v>
      </c>
      <c r="O94" s="338" t="s">
        <v>334</v>
      </c>
      <c r="P94" s="174">
        <v>0.66900000000000004</v>
      </c>
      <c r="Q94" s="370">
        <v>113</v>
      </c>
      <c r="R94" s="64"/>
      <c r="S94" s="92"/>
      <c r="T94" s="92"/>
      <c r="U94" s="92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7"/>
      <c r="BB94" s="67"/>
      <c r="BC94" s="67"/>
      <c r="BD94" s="67"/>
    </row>
    <row r="95" spans="1:56" s="66" customFormat="1" ht="15" customHeight="1">
      <c r="A95" s="530" t="s">
        <v>299</v>
      </c>
      <c r="B95" s="135" t="s">
        <v>191</v>
      </c>
      <c r="C95" s="556" t="s">
        <v>1027</v>
      </c>
      <c r="D95" s="556" t="s">
        <v>1028</v>
      </c>
      <c r="E95" s="556" t="s">
        <v>89</v>
      </c>
      <c r="F95" s="556" t="s">
        <v>116</v>
      </c>
      <c r="G95" s="663">
        <f>H95+H96</f>
        <v>4631</v>
      </c>
      <c r="H95" s="146">
        <v>2080</v>
      </c>
      <c r="I95" s="532">
        <v>313200</v>
      </c>
      <c r="J95" s="160"/>
      <c r="K95" s="145">
        <f t="shared" si="36"/>
        <v>0.35</v>
      </c>
      <c r="L95" s="550">
        <f>SUM(G95-(G95*K95))</f>
        <v>3010.15</v>
      </c>
      <c r="M95" s="146">
        <f t="shared" si="37"/>
        <v>1352</v>
      </c>
      <c r="N95" s="358">
        <f t="shared" si="38"/>
        <v>0</v>
      </c>
      <c r="O95" s="338" t="s">
        <v>335</v>
      </c>
      <c r="P95" s="174">
        <v>0.313</v>
      </c>
      <c r="Q95" s="370">
        <v>47</v>
      </c>
      <c r="R95" s="64"/>
      <c r="S95" s="92"/>
      <c r="T95" s="92"/>
      <c r="U95" s="92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7"/>
      <c r="BB95" s="67"/>
      <c r="BC95" s="67"/>
      <c r="BD95" s="67"/>
    </row>
    <row r="96" spans="1:56" s="66" customFormat="1" ht="15" customHeight="1">
      <c r="A96" s="530"/>
      <c r="B96" s="135" t="s">
        <v>288</v>
      </c>
      <c r="C96" s="667"/>
      <c r="D96" s="667"/>
      <c r="E96" s="556"/>
      <c r="F96" s="556"/>
      <c r="G96" s="664"/>
      <c r="H96" s="146">
        <v>2551</v>
      </c>
      <c r="I96" s="532"/>
      <c r="J96" s="160"/>
      <c r="K96" s="145">
        <f t="shared" si="36"/>
        <v>0.35</v>
      </c>
      <c r="L96" s="550"/>
      <c r="M96" s="146">
        <f t="shared" si="37"/>
        <v>1658.15</v>
      </c>
      <c r="N96" s="358">
        <f t="shared" si="38"/>
        <v>0</v>
      </c>
      <c r="O96" s="338" t="s">
        <v>334</v>
      </c>
      <c r="P96" s="174">
        <v>0.66900000000000004</v>
      </c>
      <c r="Q96" s="370">
        <v>94</v>
      </c>
      <c r="R96" s="64"/>
      <c r="S96" s="92"/>
      <c r="T96" s="92"/>
      <c r="U96" s="92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7"/>
      <c r="BB96" s="67"/>
      <c r="BC96" s="67"/>
      <c r="BD96" s="67"/>
    </row>
    <row r="97" spans="1:56" s="66" customFormat="1" ht="15" customHeight="1">
      <c r="A97" s="708" t="s">
        <v>300</v>
      </c>
      <c r="B97" s="135" t="s">
        <v>191</v>
      </c>
      <c r="C97" s="542" t="s">
        <v>1029</v>
      </c>
      <c r="D97" s="542" t="s">
        <v>1030</v>
      </c>
      <c r="E97" s="542" t="s">
        <v>89</v>
      </c>
      <c r="F97" s="542" t="s">
        <v>116</v>
      </c>
      <c r="G97" s="663">
        <f t="shared" ref="G97:G144" si="39">H97+H98</f>
        <v>4840</v>
      </c>
      <c r="H97" s="146">
        <v>2080</v>
      </c>
      <c r="I97" s="532">
        <v>327300</v>
      </c>
      <c r="J97" s="160"/>
      <c r="K97" s="145">
        <f t="shared" si="36"/>
        <v>0.35</v>
      </c>
      <c r="L97" s="550">
        <f>SUM(G97-(G97*K97))</f>
        <v>3146</v>
      </c>
      <c r="M97" s="146">
        <f t="shared" si="37"/>
        <v>1352</v>
      </c>
      <c r="N97" s="358">
        <f t="shared" si="38"/>
        <v>0</v>
      </c>
      <c r="O97" s="338" t="s">
        <v>335</v>
      </c>
      <c r="P97" s="174">
        <v>0.313</v>
      </c>
      <c r="Q97" s="370">
        <v>47</v>
      </c>
      <c r="R97" s="64"/>
      <c r="S97" s="92"/>
      <c r="T97" s="92"/>
      <c r="U97" s="92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</row>
    <row r="98" spans="1:56" s="66" customFormat="1" ht="15" customHeight="1">
      <c r="A98" s="708"/>
      <c r="B98" s="135" t="s">
        <v>185</v>
      </c>
      <c r="C98" s="668"/>
      <c r="D98" s="668"/>
      <c r="E98" s="542"/>
      <c r="F98" s="542"/>
      <c r="G98" s="664"/>
      <c r="H98" s="146">
        <v>2760</v>
      </c>
      <c r="I98" s="532"/>
      <c r="J98" s="160"/>
      <c r="K98" s="145">
        <f t="shared" si="36"/>
        <v>0.35</v>
      </c>
      <c r="L98" s="550"/>
      <c r="M98" s="146">
        <f t="shared" si="37"/>
        <v>1794</v>
      </c>
      <c r="N98" s="358">
        <f t="shared" si="38"/>
        <v>0</v>
      </c>
      <c r="O98" s="338" t="s">
        <v>334</v>
      </c>
      <c r="P98" s="174">
        <v>0.66900000000000004</v>
      </c>
      <c r="Q98" s="370">
        <v>113</v>
      </c>
      <c r="R98" s="64"/>
      <c r="S98" s="92"/>
      <c r="T98" s="92"/>
      <c r="U98" s="92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</row>
    <row r="99" spans="1:56" ht="41.25" customHeight="1">
      <c r="A99" s="652" t="s">
        <v>1335</v>
      </c>
      <c r="B99" s="653"/>
      <c r="C99" s="653"/>
      <c r="D99" s="653"/>
      <c r="E99" s="653"/>
      <c r="F99" s="653"/>
      <c r="G99" s="653"/>
      <c r="H99" s="653"/>
      <c r="I99" s="653"/>
      <c r="J99" s="653"/>
      <c r="K99" s="653"/>
      <c r="L99" s="653"/>
      <c r="M99" s="653"/>
      <c r="N99" s="149"/>
      <c r="O99" s="150"/>
      <c r="P99" s="150"/>
      <c r="Q99" s="399"/>
      <c r="S99" s="92"/>
      <c r="T99" s="92"/>
      <c r="U99" s="92"/>
      <c r="BA99" s="56"/>
      <c r="BB99" s="56"/>
      <c r="BC99" s="56"/>
      <c r="BD99" s="56"/>
    </row>
    <row r="100" spans="1:56" ht="30" customHeight="1">
      <c r="A100" s="537" t="s">
        <v>158</v>
      </c>
      <c r="B100" s="538"/>
      <c r="C100" s="538"/>
      <c r="D100" s="538"/>
      <c r="E100" s="538"/>
      <c r="F100" s="538"/>
      <c r="G100" s="538"/>
      <c r="H100" s="538"/>
      <c r="I100" s="538"/>
      <c r="J100" s="538"/>
      <c r="K100" s="538"/>
      <c r="L100" s="538"/>
      <c r="M100" s="538"/>
      <c r="N100" s="538"/>
      <c r="O100" s="538"/>
      <c r="P100" s="538"/>
      <c r="Q100" s="539"/>
      <c r="S100" s="92"/>
      <c r="T100" s="92"/>
      <c r="U100" s="92"/>
    </row>
    <row r="101" spans="1:56" s="73" customFormat="1" ht="19.5" customHeight="1">
      <c r="A101" s="669" t="s">
        <v>496</v>
      </c>
      <c r="B101" s="670"/>
      <c r="C101" s="670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137"/>
      <c r="O101" s="138"/>
      <c r="P101" s="138"/>
      <c r="Q101" s="377"/>
      <c r="R101" s="57"/>
      <c r="S101" s="92"/>
      <c r="T101" s="92"/>
      <c r="U101" s="92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</row>
    <row r="102" spans="1:56" ht="15.75" customHeight="1">
      <c r="A102" s="530" t="s">
        <v>1336</v>
      </c>
      <c r="B102" s="135" t="s">
        <v>1339</v>
      </c>
      <c r="C102" s="542" t="s">
        <v>1348</v>
      </c>
      <c r="D102" s="542" t="s">
        <v>1349</v>
      </c>
      <c r="E102" s="542" t="s">
        <v>631</v>
      </c>
      <c r="F102" s="542" t="s">
        <v>1123</v>
      </c>
      <c r="G102" s="663">
        <f>H102+H103</f>
        <v>2906</v>
      </c>
      <c r="H102" s="146">
        <v>1261</v>
      </c>
      <c r="I102" s="532">
        <v>196600</v>
      </c>
      <c r="J102" s="160"/>
      <c r="K102" s="145">
        <f t="shared" ref="K102:K115" si="40">$D$3</f>
        <v>0.35</v>
      </c>
      <c r="L102" s="550">
        <f>SUM(G102-(G102*K102))</f>
        <v>1888.9</v>
      </c>
      <c r="M102" s="146">
        <f t="shared" ref="M102:M103" si="41">SUM(H102-(H102*K102))</f>
        <v>819.65000000000009</v>
      </c>
      <c r="N102" s="358">
        <f t="shared" ref="N102:N107" si="42">J102*M102</f>
        <v>0</v>
      </c>
      <c r="O102" s="338" t="s">
        <v>335</v>
      </c>
      <c r="P102" s="336">
        <v>0.313</v>
      </c>
      <c r="Q102" s="367">
        <v>43</v>
      </c>
      <c r="S102" s="92"/>
      <c r="T102" s="92"/>
      <c r="U102" s="92"/>
      <c r="BA102" s="56"/>
      <c r="BB102" s="56"/>
      <c r="BC102" s="56"/>
      <c r="BD102" s="56"/>
    </row>
    <row r="103" spans="1:56" ht="15" customHeight="1">
      <c r="A103" s="531"/>
      <c r="B103" s="143" t="s">
        <v>1161</v>
      </c>
      <c r="C103" s="668"/>
      <c r="D103" s="668"/>
      <c r="E103" s="542"/>
      <c r="F103" s="542"/>
      <c r="G103" s="664"/>
      <c r="H103" s="146">
        <v>1645</v>
      </c>
      <c r="I103" s="532"/>
      <c r="J103" s="160"/>
      <c r="K103" s="145">
        <f t="shared" si="40"/>
        <v>0.35</v>
      </c>
      <c r="L103" s="550"/>
      <c r="M103" s="146">
        <f t="shared" si="41"/>
        <v>1069.25</v>
      </c>
      <c r="N103" s="358">
        <f t="shared" si="42"/>
        <v>0</v>
      </c>
      <c r="O103" s="338" t="s">
        <v>888</v>
      </c>
      <c r="P103" s="336">
        <v>0.14599999999999999</v>
      </c>
      <c r="Q103" s="370">
        <v>42</v>
      </c>
      <c r="S103" s="92"/>
      <c r="T103" s="92"/>
      <c r="U103" s="92"/>
      <c r="BA103" s="56"/>
      <c r="BB103" s="56"/>
      <c r="BC103" s="56"/>
      <c r="BD103" s="56"/>
    </row>
    <row r="104" spans="1:56" ht="15.75" customHeight="1">
      <c r="A104" s="530" t="s">
        <v>1337</v>
      </c>
      <c r="B104" s="135" t="s">
        <v>1340</v>
      </c>
      <c r="C104" s="542" t="s">
        <v>541</v>
      </c>
      <c r="D104" s="542" t="s">
        <v>1321</v>
      </c>
      <c r="E104" s="542" t="s">
        <v>543</v>
      </c>
      <c r="F104" s="542" t="s">
        <v>628</v>
      </c>
      <c r="G104" s="663">
        <f>H104+H105</f>
        <v>3365</v>
      </c>
      <c r="H104" s="146">
        <v>1427</v>
      </c>
      <c r="I104" s="532">
        <v>227600</v>
      </c>
      <c r="J104" s="160"/>
      <c r="K104" s="145">
        <f t="shared" si="40"/>
        <v>0.35</v>
      </c>
      <c r="L104" s="550">
        <f>SUM(G104-(G104*K104))</f>
        <v>2187.25</v>
      </c>
      <c r="M104" s="146">
        <f t="shared" ref="M104:M115" si="43">SUM(H104-(H104*K104))</f>
        <v>927.55</v>
      </c>
      <c r="N104" s="358">
        <f t="shared" si="42"/>
        <v>0</v>
      </c>
      <c r="O104" s="338" t="s">
        <v>335</v>
      </c>
      <c r="P104" s="336">
        <v>0.313</v>
      </c>
      <c r="Q104" s="367">
        <v>43</v>
      </c>
      <c r="S104" s="92"/>
      <c r="T104" s="92"/>
      <c r="U104" s="92"/>
      <c r="BA104" s="56"/>
      <c r="BB104" s="56"/>
      <c r="BC104" s="56"/>
      <c r="BD104" s="56"/>
    </row>
    <row r="105" spans="1:56" ht="15" customHeight="1">
      <c r="A105" s="531"/>
      <c r="B105" s="143" t="s">
        <v>1164</v>
      </c>
      <c r="C105" s="668"/>
      <c r="D105" s="668"/>
      <c r="E105" s="542"/>
      <c r="F105" s="542"/>
      <c r="G105" s="664"/>
      <c r="H105" s="146">
        <v>1938</v>
      </c>
      <c r="I105" s="532"/>
      <c r="J105" s="160"/>
      <c r="K105" s="145">
        <f t="shared" si="40"/>
        <v>0.35</v>
      </c>
      <c r="L105" s="550"/>
      <c r="M105" s="146">
        <f t="shared" si="43"/>
        <v>1259.7</v>
      </c>
      <c r="N105" s="358">
        <f t="shared" si="42"/>
        <v>0</v>
      </c>
      <c r="O105" s="338" t="s">
        <v>891</v>
      </c>
      <c r="P105" s="336">
        <v>0.184</v>
      </c>
      <c r="Q105" s="370">
        <v>46</v>
      </c>
      <c r="S105" s="92"/>
      <c r="T105" s="92"/>
      <c r="U105" s="92"/>
      <c r="BA105" s="56"/>
      <c r="BB105" s="56"/>
      <c r="BC105" s="56"/>
      <c r="BD105" s="56"/>
    </row>
    <row r="106" spans="1:56" s="69" customFormat="1" ht="15" customHeight="1">
      <c r="A106" s="530" t="s">
        <v>1338</v>
      </c>
      <c r="B106" s="135" t="s">
        <v>1341</v>
      </c>
      <c r="C106" s="542" t="s">
        <v>556</v>
      </c>
      <c r="D106" s="542" t="s">
        <v>134</v>
      </c>
      <c r="E106" s="542" t="s">
        <v>89</v>
      </c>
      <c r="F106" s="542" t="s">
        <v>628</v>
      </c>
      <c r="G106" s="663">
        <f>H106+H107</f>
        <v>4047</v>
      </c>
      <c r="H106" s="146">
        <v>1580</v>
      </c>
      <c r="I106" s="532">
        <v>273700</v>
      </c>
      <c r="J106" s="160"/>
      <c r="K106" s="145">
        <f t="shared" si="40"/>
        <v>0.35</v>
      </c>
      <c r="L106" s="550">
        <f>SUM(G106-(G106*K106))</f>
        <v>2630.55</v>
      </c>
      <c r="M106" s="146">
        <f t="shared" si="43"/>
        <v>1027</v>
      </c>
      <c r="N106" s="358">
        <f t="shared" si="42"/>
        <v>0</v>
      </c>
      <c r="O106" s="338" t="s">
        <v>335</v>
      </c>
      <c r="P106" s="336">
        <v>0.313</v>
      </c>
      <c r="Q106" s="367">
        <v>45</v>
      </c>
      <c r="R106" s="57"/>
      <c r="S106" s="92"/>
      <c r="T106" s="92"/>
      <c r="U106" s="92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6"/>
      <c r="BB106" s="56"/>
      <c r="BC106" s="56"/>
      <c r="BD106" s="56"/>
    </row>
    <row r="107" spans="1:56" s="69" customFormat="1" ht="15" customHeight="1">
      <c r="A107" s="531"/>
      <c r="B107" s="143" t="s">
        <v>1167</v>
      </c>
      <c r="C107" s="668"/>
      <c r="D107" s="668"/>
      <c r="E107" s="542"/>
      <c r="F107" s="542"/>
      <c r="G107" s="664"/>
      <c r="H107" s="146">
        <v>2467</v>
      </c>
      <c r="I107" s="532"/>
      <c r="J107" s="160"/>
      <c r="K107" s="145">
        <f t="shared" si="40"/>
        <v>0.35</v>
      </c>
      <c r="L107" s="550"/>
      <c r="M107" s="146">
        <f t="shared" si="43"/>
        <v>1603.5500000000002</v>
      </c>
      <c r="N107" s="358">
        <f t="shared" si="42"/>
        <v>0</v>
      </c>
      <c r="O107" s="338" t="s">
        <v>1185</v>
      </c>
      <c r="P107" s="336">
        <v>0.23699999999999999</v>
      </c>
      <c r="Q107" s="370">
        <v>60</v>
      </c>
      <c r="R107" s="57"/>
      <c r="S107" s="92"/>
      <c r="T107" s="92"/>
      <c r="U107" s="92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6"/>
      <c r="BB107" s="56"/>
      <c r="BC107" s="56"/>
      <c r="BD107" s="56"/>
    </row>
    <row r="108" spans="1:56" s="66" customFormat="1" ht="15" customHeight="1">
      <c r="A108" s="530" t="s">
        <v>1344</v>
      </c>
      <c r="B108" s="135" t="s">
        <v>1342</v>
      </c>
      <c r="C108" s="542" t="s">
        <v>1323</v>
      </c>
      <c r="D108" s="542" t="s">
        <v>1350</v>
      </c>
      <c r="E108" s="542" t="s">
        <v>1351</v>
      </c>
      <c r="F108" s="542" t="s">
        <v>607</v>
      </c>
      <c r="G108" s="663">
        <f>H108+H109</f>
        <v>4337</v>
      </c>
      <c r="H108" s="144">
        <v>1629</v>
      </c>
      <c r="I108" s="532">
        <v>293300</v>
      </c>
      <c r="J108" s="160"/>
      <c r="K108" s="145">
        <f t="shared" si="40"/>
        <v>0.35</v>
      </c>
      <c r="L108" s="550">
        <f>SUM(G108-(G108*K108))</f>
        <v>2819.05</v>
      </c>
      <c r="M108" s="144">
        <f t="shared" si="43"/>
        <v>1058.8499999999999</v>
      </c>
      <c r="N108" s="358">
        <f t="shared" ref="N108:N115" si="44">J108*M108</f>
        <v>0</v>
      </c>
      <c r="O108" s="338" t="s">
        <v>335</v>
      </c>
      <c r="P108" s="336">
        <v>0.313</v>
      </c>
      <c r="Q108" s="367">
        <v>45</v>
      </c>
      <c r="R108" s="64"/>
      <c r="S108" s="92"/>
      <c r="T108" s="92"/>
      <c r="U108" s="92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7"/>
      <c r="BB108" s="67"/>
      <c r="BC108" s="67"/>
      <c r="BD108" s="67"/>
    </row>
    <row r="109" spans="1:56" s="66" customFormat="1" ht="15" customHeight="1">
      <c r="A109" s="530"/>
      <c r="B109" s="143" t="s">
        <v>1169</v>
      </c>
      <c r="C109" s="668"/>
      <c r="D109" s="668"/>
      <c r="E109" s="542"/>
      <c r="F109" s="542"/>
      <c r="G109" s="664"/>
      <c r="H109" s="144">
        <v>2708</v>
      </c>
      <c r="I109" s="532"/>
      <c r="J109" s="160"/>
      <c r="K109" s="145">
        <f t="shared" si="40"/>
        <v>0.35</v>
      </c>
      <c r="L109" s="550"/>
      <c r="M109" s="144">
        <f t="shared" si="43"/>
        <v>1760.2</v>
      </c>
      <c r="N109" s="358">
        <f t="shared" si="44"/>
        <v>0</v>
      </c>
      <c r="O109" s="338" t="s">
        <v>1185</v>
      </c>
      <c r="P109" s="336">
        <v>0.23699999999999999</v>
      </c>
      <c r="Q109" s="370">
        <v>60</v>
      </c>
      <c r="R109" s="64"/>
      <c r="S109" s="92"/>
      <c r="T109" s="92"/>
      <c r="U109" s="92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7"/>
      <c r="BB109" s="67"/>
      <c r="BC109" s="67"/>
      <c r="BD109" s="67"/>
    </row>
    <row r="110" spans="1:56" s="66" customFormat="1" ht="15" customHeight="1">
      <c r="A110" s="530" t="s">
        <v>1345</v>
      </c>
      <c r="B110" s="135" t="s">
        <v>1342</v>
      </c>
      <c r="C110" s="542" t="s">
        <v>1025</v>
      </c>
      <c r="D110" s="542" t="s">
        <v>1026</v>
      </c>
      <c r="E110" s="542" t="s">
        <v>137</v>
      </c>
      <c r="F110" s="542" t="s">
        <v>143</v>
      </c>
      <c r="G110" s="663">
        <f>H110+H111</f>
        <v>4744</v>
      </c>
      <c r="H110" s="146">
        <v>1629</v>
      </c>
      <c r="I110" s="532">
        <v>320800</v>
      </c>
      <c r="J110" s="160"/>
      <c r="K110" s="145">
        <f t="shared" si="40"/>
        <v>0.35</v>
      </c>
      <c r="L110" s="550">
        <f>SUM(G110-(G110*K110))</f>
        <v>3083.6000000000004</v>
      </c>
      <c r="M110" s="146">
        <f t="shared" si="43"/>
        <v>1058.8499999999999</v>
      </c>
      <c r="N110" s="358">
        <f t="shared" si="44"/>
        <v>0</v>
      </c>
      <c r="O110" s="338" t="s">
        <v>335</v>
      </c>
      <c r="P110" s="174">
        <v>0.313</v>
      </c>
      <c r="Q110" s="370">
        <v>45</v>
      </c>
      <c r="R110" s="64"/>
      <c r="S110" s="92"/>
      <c r="T110" s="92"/>
      <c r="U110" s="92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7"/>
      <c r="BB110" s="67"/>
      <c r="BC110" s="67"/>
      <c r="BD110" s="67"/>
    </row>
    <row r="111" spans="1:56" s="66" customFormat="1" ht="15" customHeight="1">
      <c r="A111" s="530"/>
      <c r="B111" s="135" t="s">
        <v>1186</v>
      </c>
      <c r="C111" s="668"/>
      <c r="D111" s="668"/>
      <c r="E111" s="542"/>
      <c r="F111" s="542"/>
      <c r="G111" s="664"/>
      <c r="H111" s="146">
        <v>3115</v>
      </c>
      <c r="I111" s="532"/>
      <c r="J111" s="160"/>
      <c r="K111" s="145">
        <f t="shared" si="40"/>
        <v>0.35</v>
      </c>
      <c r="L111" s="550"/>
      <c r="M111" s="146">
        <f t="shared" si="43"/>
        <v>2024.75</v>
      </c>
      <c r="N111" s="358">
        <f t="shared" si="44"/>
        <v>0</v>
      </c>
      <c r="O111" s="338" t="s">
        <v>1185</v>
      </c>
      <c r="P111" s="336">
        <v>0.23699999999999999</v>
      </c>
      <c r="Q111" s="370">
        <v>61</v>
      </c>
      <c r="R111" s="64"/>
      <c r="S111" s="92"/>
      <c r="T111" s="92"/>
      <c r="U111" s="92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7"/>
      <c r="BB111" s="67"/>
      <c r="BC111" s="67"/>
      <c r="BD111" s="67"/>
    </row>
    <row r="112" spans="1:56" s="66" customFormat="1" ht="15" customHeight="1">
      <c r="A112" s="530" t="s">
        <v>1346</v>
      </c>
      <c r="B112" s="135" t="s">
        <v>1343</v>
      </c>
      <c r="C112" s="556" t="s">
        <v>1352</v>
      </c>
      <c r="D112" s="556" t="s">
        <v>1353</v>
      </c>
      <c r="E112" s="556" t="s">
        <v>1354</v>
      </c>
      <c r="F112" s="556" t="s">
        <v>137</v>
      </c>
      <c r="G112" s="663">
        <f>H112+H113</f>
        <v>4622</v>
      </c>
      <c r="H112" s="146">
        <v>1647</v>
      </c>
      <c r="I112" s="532">
        <v>312600</v>
      </c>
      <c r="J112" s="160"/>
      <c r="K112" s="145">
        <f t="shared" si="40"/>
        <v>0.35</v>
      </c>
      <c r="L112" s="550">
        <f>SUM(G112-(G112*K112))</f>
        <v>3004.3</v>
      </c>
      <c r="M112" s="146">
        <f t="shared" si="43"/>
        <v>1070.5500000000002</v>
      </c>
      <c r="N112" s="358">
        <f t="shared" si="44"/>
        <v>0</v>
      </c>
      <c r="O112" s="338" t="s">
        <v>335</v>
      </c>
      <c r="P112" s="174">
        <v>0.313</v>
      </c>
      <c r="Q112" s="370">
        <v>47</v>
      </c>
      <c r="R112" s="64"/>
      <c r="S112" s="92"/>
      <c r="T112" s="92"/>
      <c r="U112" s="92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7"/>
      <c r="BB112" s="67"/>
      <c r="BC112" s="67"/>
      <c r="BD112" s="67"/>
    </row>
    <row r="113" spans="1:56" s="66" customFormat="1" ht="15" customHeight="1">
      <c r="A113" s="530"/>
      <c r="B113" s="143" t="s">
        <v>1171</v>
      </c>
      <c r="C113" s="667"/>
      <c r="D113" s="667"/>
      <c r="E113" s="556"/>
      <c r="F113" s="556"/>
      <c r="G113" s="664"/>
      <c r="H113" s="146">
        <v>2975</v>
      </c>
      <c r="I113" s="532"/>
      <c r="J113" s="160"/>
      <c r="K113" s="145">
        <f t="shared" si="40"/>
        <v>0.35</v>
      </c>
      <c r="L113" s="550"/>
      <c r="M113" s="146">
        <f t="shared" si="43"/>
        <v>1933.75</v>
      </c>
      <c r="N113" s="358">
        <f t="shared" si="44"/>
        <v>0</v>
      </c>
      <c r="O113" s="338" t="s">
        <v>1192</v>
      </c>
      <c r="P113" s="336">
        <v>0.3</v>
      </c>
      <c r="Q113" s="370">
        <v>75</v>
      </c>
      <c r="R113" s="64"/>
      <c r="S113" s="92"/>
      <c r="T113" s="92"/>
      <c r="U113" s="92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7"/>
      <c r="BB113" s="67"/>
      <c r="BC113" s="67"/>
      <c r="BD113" s="67"/>
    </row>
    <row r="114" spans="1:56" s="66" customFormat="1" ht="15" customHeight="1">
      <c r="A114" s="530" t="s">
        <v>1347</v>
      </c>
      <c r="B114" s="135" t="s">
        <v>1343</v>
      </c>
      <c r="C114" s="556" t="s">
        <v>1352</v>
      </c>
      <c r="D114" s="556" t="s">
        <v>1353</v>
      </c>
      <c r="E114" s="556" t="s">
        <v>1354</v>
      </c>
      <c r="F114" s="556" t="s">
        <v>137</v>
      </c>
      <c r="G114" s="663">
        <f t="shared" ref="G114" si="45">H114+H115</f>
        <v>5068</v>
      </c>
      <c r="H114" s="146">
        <v>1647</v>
      </c>
      <c r="I114" s="532">
        <v>342700</v>
      </c>
      <c r="J114" s="160"/>
      <c r="K114" s="145">
        <f t="shared" si="40"/>
        <v>0.35</v>
      </c>
      <c r="L114" s="550">
        <f>SUM(G114-(G114*K114))</f>
        <v>3294.2</v>
      </c>
      <c r="M114" s="146">
        <f t="shared" si="43"/>
        <v>1070.5500000000002</v>
      </c>
      <c r="N114" s="358">
        <f t="shared" si="44"/>
        <v>0</v>
      </c>
      <c r="O114" s="338" t="s">
        <v>335</v>
      </c>
      <c r="P114" s="174">
        <v>0.313</v>
      </c>
      <c r="Q114" s="370">
        <v>47</v>
      </c>
      <c r="R114" s="64"/>
      <c r="S114" s="92"/>
      <c r="T114" s="92"/>
      <c r="U114" s="92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</row>
    <row r="115" spans="1:56" s="66" customFormat="1" ht="15" customHeight="1">
      <c r="A115" s="530"/>
      <c r="B115" s="135" t="s">
        <v>1194</v>
      </c>
      <c r="C115" s="667"/>
      <c r="D115" s="667"/>
      <c r="E115" s="556"/>
      <c r="F115" s="556"/>
      <c r="G115" s="664"/>
      <c r="H115" s="146">
        <v>3421</v>
      </c>
      <c r="I115" s="532"/>
      <c r="J115" s="160"/>
      <c r="K115" s="145">
        <f t="shared" si="40"/>
        <v>0.35</v>
      </c>
      <c r="L115" s="550"/>
      <c r="M115" s="146">
        <f t="shared" si="43"/>
        <v>2223.65</v>
      </c>
      <c r="N115" s="358">
        <f t="shared" si="44"/>
        <v>0</v>
      </c>
      <c r="O115" s="338" t="s">
        <v>1192</v>
      </c>
      <c r="P115" s="336">
        <v>0.3</v>
      </c>
      <c r="Q115" s="370">
        <v>75</v>
      </c>
      <c r="R115" s="64"/>
      <c r="S115" s="92"/>
      <c r="T115" s="92"/>
      <c r="U115" s="92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</row>
    <row r="116" spans="1:56" ht="41.25" customHeight="1">
      <c r="A116" s="652" t="s">
        <v>1355</v>
      </c>
      <c r="B116" s="653"/>
      <c r="C116" s="653"/>
      <c r="D116" s="653"/>
      <c r="E116" s="653"/>
      <c r="F116" s="653"/>
      <c r="G116" s="653"/>
      <c r="H116" s="653"/>
      <c r="I116" s="653"/>
      <c r="J116" s="653"/>
      <c r="K116" s="653"/>
      <c r="L116" s="653"/>
      <c r="M116" s="653"/>
      <c r="N116" s="149"/>
      <c r="O116" s="150"/>
      <c r="P116" s="150"/>
      <c r="Q116" s="399"/>
      <c r="S116" s="92"/>
      <c r="T116" s="92"/>
      <c r="U116" s="92"/>
      <c r="BA116" s="56"/>
      <c r="BB116" s="56"/>
      <c r="BC116" s="56"/>
      <c r="BD116" s="56"/>
    </row>
    <row r="117" spans="1:56" ht="30" customHeight="1">
      <c r="A117" s="537" t="s">
        <v>158</v>
      </c>
      <c r="B117" s="538"/>
      <c r="C117" s="538"/>
      <c r="D117" s="538"/>
      <c r="E117" s="538"/>
      <c r="F117" s="538"/>
      <c r="G117" s="538"/>
      <c r="H117" s="538"/>
      <c r="I117" s="538"/>
      <c r="J117" s="538"/>
      <c r="K117" s="538"/>
      <c r="L117" s="538"/>
      <c r="M117" s="538"/>
      <c r="N117" s="538"/>
      <c r="O117" s="538"/>
      <c r="P117" s="538"/>
      <c r="Q117" s="539"/>
      <c r="S117" s="92"/>
      <c r="T117" s="92"/>
      <c r="U117" s="92"/>
    </row>
    <row r="118" spans="1:56" s="73" customFormat="1" ht="19.5" customHeight="1">
      <c r="A118" s="669" t="s">
        <v>496</v>
      </c>
      <c r="B118" s="670"/>
      <c r="C118" s="670"/>
      <c r="D118" s="670"/>
      <c r="E118" s="670"/>
      <c r="F118" s="670"/>
      <c r="G118" s="670"/>
      <c r="H118" s="670"/>
      <c r="I118" s="670"/>
      <c r="J118" s="670"/>
      <c r="K118" s="670"/>
      <c r="L118" s="670"/>
      <c r="M118" s="670"/>
      <c r="N118" s="137"/>
      <c r="O118" s="138"/>
      <c r="P118" s="138"/>
      <c r="Q118" s="377"/>
      <c r="R118" s="57"/>
      <c r="S118" s="92"/>
      <c r="T118" s="92"/>
      <c r="U118" s="92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</row>
    <row r="119" spans="1:56" ht="15.75" customHeight="1">
      <c r="A119" s="530" t="s">
        <v>1336</v>
      </c>
      <c r="B119" s="135" t="s">
        <v>1339</v>
      </c>
      <c r="C119" s="542" t="s">
        <v>1348</v>
      </c>
      <c r="D119" s="542" t="s">
        <v>1349</v>
      </c>
      <c r="E119" s="542" t="s">
        <v>631</v>
      </c>
      <c r="F119" s="542" t="s">
        <v>1123</v>
      </c>
      <c r="G119" s="663">
        <f>H119+H120</f>
        <v>2496</v>
      </c>
      <c r="H119" s="146">
        <v>1261</v>
      </c>
      <c r="I119" s="532">
        <v>168800</v>
      </c>
      <c r="J119" s="160"/>
      <c r="K119" s="145">
        <f t="shared" ref="K119:K132" si="46">$D$3</f>
        <v>0.35</v>
      </c>
      <c r="L119" s="550">
        <f>SUM(G119-(G119*K119))</f>
        <v>1622.4</v>
      </c>
      <c r="M119" s="146">
        <f t="shared" ref="M119:M132" si="47">SUM(H119-(H119*K119))</f>
        <v>819.65000000000009</v>
      </c>
      <c r="N119" s="358">
        <f t="shared" ref="N119:N124" si="48">J119*M119</f>
        <v>0</v>
      </c>
      <c r="O119" s="338" t="s">
        <v>335</v>
      </c>
      <c r="P119" s="336">
        <v>0.313</v>
      </c>
      <c r="Q119" s="367">
        <v>43</v>
      </c>
      <c r="S119" s="92"/>
      <c r="T119" s="92"/>
      <c r="U119" s="92"/>
      <c r="BA119" s="56"/>
      <c r="BB119" s="56"/>
      <c r="BC119" s="56"/>
      <c r="BD119" s="56"/>
    </row>
    <row r="120" spans="1:56" ht="15" customHeight="1">
      <c r="A120" s="531"/>
      <c r="B120" s="143" t="s">
        <v>1203</v>
      </c>
      <c r="C120" s="668"/>
      <c r="D120" s="668"/>
      <c r="E120" s="542"/>
      <c r="F120" s="542"/>
      <c r="G120" s="664"/>
      <c r="H120" s="146">
        <v>1235</v>
      </c>
      <c r="I120" s="532"/>
      <c r="J120" s="160"/>
      <c r="K120" s="145">
        <f t="shared" si="46"/>
        <v>0.35</v>
      </c>
      <c r="L120" s="550"/>
      <c r="M120" s="146">
        <f t="shared" si="47"/>
        <v>802.75</v>
      </c>
      <c r="N120" s="358">
        <f t="shared" si="48"/>
        <v>0</v>
      </c>
      <c r="O120" s="338" t="s">
        <v>888</v>
      </c>
      <c r="P120" s="336">
        <v>0.249</v>
      </c>
      <c r="Q120" s="370">
        <v>40</v>
      </c>
      <c r="S120" s="92"/>
      <c r="T120" s="92"/>
      <c r="U120" s="92"/>
      <c r="BA120" s="56"/>
      <c r="BB120" s="56"/>
      <c r="BC120" s="56"/>
      <c r="BD120" s="56"/>
    </row>
    <row r="121" spans="1:56" ht="15.75" customHeight="1">
      <c r="A121" s="530" t="s">
        <v>1337</v>
      </c>
      <c r="B121" s="135" t="s">
        <v>1340</v>
      </c>
      <c r="C121" s="542" t="s">
        <v>1356</v>
      </c>
      <c r="D121" s="542" t="s">
        <v>1357</v>
      </c>
      <c r="E121" s="542" t="s">
        <v>1358</v>
      </c>
      <c r="F121" s="542" t="s">
        <v>607</v>
      </c>
      <c r="G121" s="663">
        <f>H121+H122</f>
        <v>2662</v>
      </c>
      <c r="H121" s="146">
        <v>1427</v>
      </c>
      <c r="I121" s="532">
        <v>180000</v>
      </c>
      <c r="J121" s="160"/>
      <c r="K121" s="145">
        <f t="shared" si="46"/>
        <v>0.35</v>
      </c>
      <c r="L121" s="550">
        <f>SUM(G121-(G121*K121))</f>
        <v>1730.3000000000002</v>
      </c>
      <c r="M121" s="146">
        <f t="shared" si="47"/>
        <v>927.55</v>
      </c>
      <c r="N121" s="358">
        <f t="shared" si="48"/>
        <v>0</v>
      </c>
      <c r="O121" s="338" t="s">
        <v>335</v>
      </c>
      <c r="P121" s="336">
        <v>0.313</v>
      </c>
      <c r="Q121" s="367">
        <v>43</v>
      </c>
      <c r="S121" s="92"/>
      <c r="T121" s="92"/>
      <c r="U121" s="92"/>
      <c r="BA121" s="56"/>
      <c r="BB121" s="56"/>
      <c r="BC121" s="56"/>
      <c r="BD121" s="56"/>
    </row>
    <row r="122" spans="1:56" ht="15" customHeight="1">
      <c r="A122" s="531"/>
      <c r="B122" s="143" t="s">
        <v>1204</v>
      </c>
      <c r="C122" s="668"/>
      <c r="D122" s="668"/>
      <c r="E122" s="542"/>
      <c r="F122" s="542"/>
      <c r="G122" s="664"/>
      <c r="H122" s="146">
        <v>1235</v>
      </c>
      <c r="I122" s="532"/>
      <c r="J122" s="160"/>
      <c r="K122" s="145">
        <f t="shared" si="46"/>
        <v>0.35</v>
      </c>
      <c r="L122" s="550"/>
      <c r="M122" s="146">
        <f t="shared" si="47"/>
        <v>802.75</v>
      </c>
      <c r="N122" s="358">
        <f t="shared" si="48"/>
        <v>0</v>
      </c>
      <c r="O122" s="338" t="s">
        <v>888</v>
      </c>
      <c r="P122" s="336">
        <v>0.249</v>
      </c>
      <c r="Q122" s="370">
        <v>42</v>
      </c>
      <c r="S122" s="92"/>
      <c r="T122" s="92"/>
      <c r="U122" s="92"/>
      <c r="BA122" s="56"/>
      <c r="BB122" s="56"/>
      <c r="BC122" s="56"/>
      <c r="BD122" s="56"/>
    </row>
    <row r="123" spans="1:56" s="69" customFormat="1" ht="15" customHeight="1">
      <c r="A123" s="530" t="s">
        <v>1338</v>
      </c>
      <c r="B123" s="135" t="s">
        <v>1341</v>
      </c>
      <c r="C123" s="542" t="s">
        <v>1359</v>
      </c>
      <c r="D123" s="542" t="s">
        <v>1360</v>
      </c>
      <c r="E123" s="542" t="s">
        <v>89</v>
      </c>
      <c r="F123" s="542" t="s">
        <v>116</v>
      </c>
      <c r="G123" s="663">
        <f>H123+H124</f>
        <v>3429</v>
      </c>
      <c r="H123" s="146">
        <v>1580</v>
      </c>
      <c r="I123" s="532">
        <v>231900</v>
      </c>
      <c r="J123" s="160"/>
      <c r="K123" s="145">
        <f t="shared" si="46"/>
        <v>0.35</v>
      </c>
      <c r="L123" s="550">
        <f>SUM(G123-(G123*K123))</f>
        <v>2228.8500000000004</v>
      </c>
      <c r="M123" s="146">
        <f t="shared" si="47"/>
        <v>1027</v>
      </c>
      <c r="N123" s="358">
        <f t="shared" si="48"/>
        <v>0</v>
      </c>
      <c r="O123" s="338" t="s">
        <v>335</v>
      </c>
      <c r="P123" s="336">
        <v>0.313</v>
      </c>
      <c r="Q123" s="367">
        <v>45</v>
      </c>
      <c r="R123" s="57"/>
      <c r="S123" s="92"/>
      <c r="T123" s="92"/>
      <c r="U123" s="92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6"/>
      <c r="BB123" s="56"/>
      <c r="BC123" s="56"/>
      <c r="BD123" s="56"/>
    </row>
    <row r="124" spans="1:56" s="69" customFormat="1" ht="15" customHeight="1">
      <c r="A124" s="531"/>
      <c r="B124" s="143" t="s">
        <v>1205</v>
      </c>
      <c r="C124" s="668"/>
      <c r="D124" s="668"/>
      <c r="E124" s="542"/>
      <c r="F124" s="542"/>
      <c r="G124" s="664"/>
      <c r="H124" s="146">
        <v>1849</v>
      </c>
      <c r="I124" s="532"/>
      <c r="J124" s="160"/>
      <c r="K124" s="145">
        <f t="shared" si="46"/>
        <v>0.35</v>
      </c>
      <c r="L124" s="550"/>
      <c r="M124" s="146">
        <f t="shared" si="47"/>
        <v>1201.8499999999999</v>
      </c>
      <c r="N124" s="358">
        <f t="shared" si="48"/>
        <v>0</v>
      </c>
      <c r="O124" s="338" t="s">
        <v>1185</v>
      </c>
      <c r="P124" s="336">
        <v>0.23699999999999999</v>
      </c>
      <c r="Q124" s="370">
        <v>61</v>
      </c>
      <c r="R124" s="57"/>
      <c r="S124" s="92"/>
      <c r="T124" s="92"/>
      <c r="U124" s="92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6"/>
      <c r="BB124" s="56"/>
      <c r="BC124" s="56"/>
      <c r="BD124" s="56"/>
    </row>
    <row r="125" spans="1:56" s="66" customFormat="1" ht="15" customHeight="1">
      <c r="A125" s="530" t="s">
        <v>1344</v>
      </c>
      <c r="B125" s="135" t="s">
        <v>1342</v>
      </c>
      <c r="C125" s="542" t="s">
        <v>1361</v>
      </c>
      <c r="D125" s="542" t="s">
        <v>1362</v>
      </c>
      <c r="E125" s="542" t="s">
        <v>1363</v>
      </c>
      <c r="F125" s="542" t="s">
        <v>1364</v>
      </c>
      <c r="G125" s="663">
        <f>H125+H126</f>
        <v>3660</v>
      </c>
      <c r="H125" s="144">
        <v>1629</v>
      </c>
      <c r="I125" s="532">
        <v>247500</v>
      </c>
      <c r="J125" s="160"/>
      <c r="K125" s="145">
        <f t="shared" si="46"/>
        <v>0.35</v>
      </c>
      <c r="L125" s="550">
        <f>SUM(G125-(G125*K125))</f>
        <v>2379</v>
      </c>
      <c r="M125" s="144">
        <f t="shared" si="47"/>
        <v>1058.8499999999999</v>
      </c>
      <c r="N125" s="358">
        <f t="shared" ref="N125:N132" si="49">J125*M125</f>
        <v>0</v>
      </c>
      <c r="O125" s="338" t="s">
        <v>335</v>
      </c>
      <c r="P125" s="336">
        <v>0.313</v>
      </c>
      <c r="Q125" s="367">
        <v>45</v>
      </c>
      <c r="R125" s="64"/>
      <c r="S125" s="92"/>
      <c r="T125" s="92"/>
      <c r="U125" s="92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7"/>
      <c r="BB125" s="67"/>
      <c r="BC125" s="67"/>
      <c r="BD125" s="67"/>
    </row>
    <row r="126" spans="1:56" s="66" customFormat="1" ht="15" customHeight="1">
      <c r="A126" s="530"/>
      <c r="B126" s="143" t="s">
        <v>1206</v>
      </c>
      <c r="C126" s="668"/>
      <c r="D126" s="668"/>
      <c r="E126" s="542"/>
      <c r="F126" s="542"/>
      <c r="G126" s="664"/>
      <c r="H126" s="144">
        <v>2031</v>
      </c>
      <c r="I126" s="532"/>
      <c r="J126" s="160"/>
      <c r="K126" s="145">
        <f t="shared" si="46"/>
        <v>0.35</v>
      </c>
      <c r="L126" s="550"/>
      <c r="M126" s="144">
        <f t="shared" si="47"/>
        <v>1320.15</v>
      </c>
      <c r="N126" s="358">
        <f t="shared" si="49"/>
        <v>0</v>
      </c>
      <c r="O126" s="338" t="s">
        <v>1185</v>
      </c>
      <c r="P126" s="336">
        <v>0.23699999999999999</v>
      </c>
      <c r="Q126" s="370">
        <v>61</v>
      </c>
      <c r="R126" s="64"/>
      <c r="S126" s="92"/>
      <c r="T126" s="92"/>
      <c r="U126" s="92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7"/>
      <c r="BB126" s="67"/>
      <c r="BC126" s="67"/>
      <c r="BD126" s="67"/>
    </row>
    <row r="127" spans="1:56" s="66" customFormat="1" ht="15" customHeight="1">
      <c r="A127" s="530" t="s">
        <v>1345</v>
      </c>
      <c r="B127" s="135" t="s">
        <v>1342</v>
      </c>
      <c r="C127" s="542" t="s">
        <v>1323</v>
      </c>
      <c r="D127" s="542" t="s">
        <v>1362</v>
      </c>
      <c r="E127" s="542" t="s">
        <v>1363</v>
      </c>
      <c r="F127" s="542" t="s">
        <v>1364</v>
      </c>
      <c r="G127" s="663">
        <f>H127+H128</f>
        <v>3964</v>
      </c>
      <c r="H127" s="146">
        <v>1629</v>
      </c>
      <c r="I127" s="532">
        <v>268100</v>
      </c>
      <c r="J127" s="160"/>
      <c r="K127" s="145">
        <f t="shared" si="46"/>
        <v>0.35</v>
      </c>
      <c r="L127" s="550">
        <f>SUM(G127-(G127*K127))</f>
        <v>2576.6000000000004</v>
      </c>
      <c r="M127" s="146">
        <f t="shared" si="47"/>
        <v>1058.8499999999999</v>
      </c>
      <c r="N127" s="358">
        <f t="shared" si="49"/>
        <v>0</v>
      </c>
      <c r="O127" s="338" t="s">
        <v>335</v>
      </c>
      <c r="P127" s="174">
        <v>0.313</v>
      </c>
      <c r="Q127" s="370">
        <v>45</v>
      </c>
      <c r="R127" s="64"/>
      <c r="S127" s="92"/>
      <c r="T127" s="92"/>
      <c r="U127" s="92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7"/>
      <c r="BB127" s="67"/>
      <c r="BC127" s="67"/>
      <c r="BD127" s="67"/>
    </row>
    <row r="128" spans="1:56" s="66" customFormat="1" ht="15" customHeight="1">
      <c r="A128" s="530"/>
      <c r="B128" s="135" t="s">
        <v>1207</v>
      </c>
      <c r="C128" s="668"/>
      <c r="D128" s="668"/>
      <c r="E128" s="542"/>
      <c r="F128" s="542"/>
      <c r="G128" s="664"/>
      <c r="H128" s="146">
        <v>2335</v>
      </c>
      <c r="I128" s="532"/>
      <c r="J128" s="160"/>
      <c r="K128" s="145">
        <f t="shared" si="46"/>
        <v>0.35</v>
      </c>
      <c r="L128" s="550"/>
      <c r="M128" s="146">
        <f t="shared" si="47"/>
        <v>1517.75</v>
      </c>
      <c r="N128" s="358">
        <f t="shared" si="49"/>
        <v>0</v>
      </c>
      <c r="O128" s="338" t="s">
        <v>1185</v>
      </c>
      <c r="P128" s="336">
        <v>0.23699999999999999</v>
      </c>
      <c r="Q128" s="370">
        <v>62</v>
      </c>
      <c r="R128" s="64"/>
      <c r="S128" s="92"/>
      <c r="T128" s="92"/>
      <c r="U128" s="92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7"/>
      <c r="BB128" s="67"/>
      <c r="BC128" s="67"/>
      <c r="BD128" s="67"/>
    </row>
    <row r="129" spans="1:56" s="66" customFormat="1" ht="15" customHeight="1">
      <c r="A129" s="530" t="s">
        <v>1346</v>
      </c>
      <c r="B129" s="135" t="s">
        <v>1343</v>
      </c>
      <c r="C129" s="556" t="s">
        <v>1365</v>
      </c>
      <c r="D129" s="556" t="s">
        <v>1366</v>
      </c>
      <c r="E129" s="556" t="s">
        <v>1367</v>
      </c>
      <c r="F129" s="556" t="s">
        <v>1368</v>
      </c>
      <c r="G129" s="663">
        <f>H129+H130</f>
        <v>3878</v>
      </c>
      <c r="H129" s="146">
        <v>1647</v>
      </c>
      <c r="I129" s="532">
        <v>262300</v>
      </c>
      <c r="J129" s="160"/>
      <c r="K129" s="145">
        <f t="shared" si="46"/>
        <v>0.35</v>
      </c>
      <c r="L129" s="550">
        <f>SUM(G129-(G129*K129))</f>
        <v>2520.6999999999998</v>
      </c>
      <c r="M129" s="146">
        <f t="shared" si="47"/>
        <v>1070.5500000000002</v>
      </c>
      <c r="N129" s="358">
        <f t="shared" si="49"/>
        <v>0</v>
      </c>
      <c r="O129" s="338" t="s">
        <v>335</v>
      </c>
      <c r="P129" s="174">
        <v>0.313</v>
      </c>
      <c r="Q129" s="370">
        <v>47</v>
      </c>
      <c r="R129" s="64"/>
      <c r="S129" s="92"/>
      <c r="T129" s="92"/>
      <c r="U129" s="92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7"/>
      <c r="BB129" s="67"/>
      <c r="BC129" s="67"/>
      <c r="BD129" s="67"/>
    </row>
    <row r="130" spans="1:56" s="66" customFormat="1" ht="15" customHeight="1">
      <c r="A130" s="530"/>
      <c r="B130" s="143" t="s">
        <v>1208</v>
      </c>
      <c r="C130" s="667"/>
      <c r="D130" s="667"/>
      <c r="E130" s="556"/>
      <c r="F130" s="556"/>
      <c r="G130" s="664"/>
      <c r="H130" s="146">
        <v>2231</v>
      </c>
      <c r="I130" s="532"/>
      <c r="J130" s="160"/>
      <c r="K130" s="145">
        <f t="shared" si="46"/>
        <v>0.35</v>
      </c>
      <c r="L130" s="550"/>
      <c r="M130" s="146">
        <f t="shared" si="47"/>
        <v>1450.15</v>
      </c>
      <c r="N130" s="358">
        <f t="shared" si="49"/>
        <v>0</v>
      </c>
      <c r="O130" s="338" t="s">
        <v>1192</v>
      </c>
      <c r="P130" s="336">
        <v>0.3</v>
      </c>
      <c r="Q130" s="370">
        <v>71</v>
      </c>
      <c r="R130" s="64"/>
      <c r="S130" s="92"/>
      <c r="T130" s="92"/>
      <c r="U130" s="92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7"/>
      <c r="BB130" s="67"/>
      <c r="BC130" s="67"/>
      <c r="BD130" s="67"/>
    </row>
    <row r="131" spans="1:56" s="66" customFormat="1" ht="15" customHeight="1">
      <c r="A131" s="530" t="s">
        <v>1347</v>
      </c>
      <c r="B131" s="135" t="s">
        <v>1343</v>
      </c>
      <c r="C131" s="556" t="s">
        <v>1365</v>
      </c>
      <c r="D131" s="556" t="s">
        <v>1366</v>
      </c>
      <c r="E131" s="556" t="s">
        <v>1369</v>
      </c>
      <c r="F131" s="556" t="s">
        <v>1368</v>
      </c>
      <c r="G131" s="663">
        <f t="shared" ref="G131" si="50">H131+H132</f>
        <v>4212</v>
      </c>
      <c r="H131" s="146">
        <v>1647</v>
      </c>
      <c r="I131" s="532">
        <v>284800</v>
      </c>
      <c r="J131" s="160"/>
      <c r="K131" s="145">
        <f t="shared" si="46"/>
        <v>0.35</v>
      </c>
      <c r="L131" s="550">
        <f>SUM(G131-(G131*K131))</f>
        <v>2737.8</v>
      </c>
      <c r="M131" s="146">
        <f t="shared" si="47"/>
        <v>1070.5500000000002</v>
      </c>
      <c r="N131" s="358">
        <f t="shared" si="49"/>
        <v>0</v>
      </c>
      <c r="O131" s="338" t="s">
        <v>335</v>
      </c>
      <c r="P131" s="174">
        <v>0.313</v>
      </c>
      <c r="Q131" s="370">
        <v>47</v>
      </c>
      <c r="R131" s="64"/>
      <c r="S131" s="92"/>
      <c r="T131" s="92"/>
      <c r="U131" s="92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</row>
    <row r="132" spans="1:56" s="66" customFormat="1" ht="15" customHeight="1">
      <c r="A132" s="530"/>
      <c r="B132" s="135" t="s">
        <v>1209</v>
      </c>
      <c r="C132" s="667"/>
      <c r="D132" s="667"/>
      <c r="E132" s="556"/>
      <c r="F132" s="556"/>
      <c r="G132" s="664"/>
      <c r="H132" s="146">
        <v>2565</v>
      </c>
      <c r="I132" s="532"/>
      <c r="J132" s="160"/>
      <c r="K132" s="145">
        <f t="shared" si="46"/>
        <v>0.35</v>
      </c>
      <c r="L132" s="550"/>
      <c r="M132" s="146">
        <f t="shared" si="47"/>
        <v>1667.25</v>
      </c>
      <c r="N132" s="358">
        <f t="shared" si="49"/>
        <v>0</v>
      </c>
      <c r="O132" s="338" t="s">
        <v>1192</v>
      </c>
      <c r="P132" s="336">
        <v>0.3</v>
      </c>
      <c r="Q132" s="370">
        <v>71</v>
      </c>
      <c r="R132" s="64"/>
      <c r="S132" s="92"/>
      <c r="T132" s="92"/>
      <c r="U132" s="92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</row>
    <row r="133" spans="1:56" s="73" customFormat="1" ht="19.5" customHeight="1">
      <c r="A133" s="706" t="s">
        <v>497</v>
      </c>
      <c r="B133" s="707"/>
      <c r="C133" s="707"/>
      <c r="D133" s="707"/>
      <c r="E133" s="707"/>
      <c r="F133" s="707"/>
      <c r="G133" s="707"/>
      <c r="H133" s="707"/>
      <c r="I133" s="707"/>
      <c r="J133" s="707"/>
      <c r="K133" s="707"/>
      <c r="L133" s="707"/>
      <c r="M133" s="707"/>
      <c r="N133" s="149"/>
      <c r="O133" s="150"/>
      <c r="P133" s="150"/>
      <c r="Q133" s="399"/>
      <c r="R133" s="57"/>
      <c r="S133" s="92"/>
      <c r="T133" s="92"/>
      <c r="U133" s="92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</row>
    <row r="134" spans="1:56" s="66" customFormat="1" ht="15" customHeight="1">
      <c r="A134" s="666" t="s">
        <v>301</v>
      </c>
      <c r="B134" s="135" t="s">
        <v>192</v>
      </c>
      <c r="C134" s="542" t="s">
        <v>1031</v>
      </c>
      <c r="D134" s="542" t="s">
        <v>1032</v>
      </c>
      <c r="E134" s="535" t="s">
        <v>117</v>
      </c>
      <c r="F134" s="535" t="s">
        <v>144</v>
      </c>
      <c r="G134" s="663">
        <f t="shared" si="39"/>
        <v>4631</v>
      </c>
      <c r="H134" s="146">
        <v>2080</v>
      </c>
      <c r="I134" s="532">
        <v>313200</v>
      </c>
      <c r="J134" s="160"/>
      <c r="K134" s="145">
        <f t="shared" ref="K134:K147" si="51">$D$3</f>
        <v>0.35</v>
      </c>
      <c r="L134" s="550">
        <f>SUM(G134-(G134*K134))</f>
        <v>3010.15</v>
      </c>
      <c r="M134" s="146">
        <f t="shared" ref="M134:M147" si="52">SUM(H134-(H134*K134))</f>
        <v>1352</v>
      </c>
      <c r="N134" s="358">
        <f t="shared" si="38"/>
        <v>0</v>
      </c>
      <c r="O134" s="338" t="s">
        <v>336</v>
      </c>
      <c r="P134" s="336">
        <v>0.36199999999999999</v>
      </c>
      <c r="Q134" s="367">
        <v>51</v>
      </c>
      <c r="R134" s="64"/>
      <c r="S134" s="92"/>
      <c r="T134" s="92"/>
      <c r="U134" s="92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</row>
    <row r="135" spans="1:56" s="66" customFormat="1" ht="15" customHeight="1">
      <c r="A135" s="666"/>
      <c r="B135" s="135" t="s">
        <v>288</v>
      </c>
      <c r="C135" s="662"/>
      <c r="D135" s="662"/>
      <c r="E135" s="535"/>
      <c r="F135" s="535"/>
      <c r="G135" s="664"/>
      <c r="H135" s="146">
        <v>2551</v>
      </c>
      <c r="I135" s="532"/>
      <c r="J135" s="160"/>
      <c r="K135" s="145">
        <f t="shared" si="51"/>
        <v>0.35</v>
      </c>
      <c r="L135" s="550"/>
      <c r="M135" s="146">
        <f t="shared" si="52"/>
        <v>1658.15</v>
      </c>
      <c r="N135" s="358">
        <f t="shared" si="38"/>
        <v>0</v>
      </c>
      <c r="O135" s="338" t="s">
        <v>334</v>
      </c>
      <c r="P135" s="336">
        <v>0.66900000000000004</v>
      </c>
      <c r="Q135" s="367">
        <v>117</v>
      </c>
      <c r="R135" s="64"/>
      <c r="S135" s="92"/>
      <c r="T135" s="92"/>
      <c r="U135" s="92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</row>
    <row r="136" spans="1:56" s="66" customFormat="1" ht="15" customHeight="1">
      <c r="A136" s="666" t="s">
        <v>302</v>
      </c>
      <c r="B136" s="135" t="s">
        <v>192</v>
      </c>
      <c r="C136" s="555" t="s">
        <v>1012</v>
      </c>
      <c r="D136" s="555" t="s">
        <v>1013</v>
      </c>
      <c r="E136" s="535" t="s">
        <v>117</v>
      </c>
      <c r="F136" s="535" t="s">
        <v>144</v>
      </c>
      <c r="G136" s="663">
        <f t="shared" si="39"/>
        <v>4840</v>
      </c>
      <c r="H136" s="146">
        <v>2080</v>
      </c>
      <c r="I136" s="532">
        <v>327300</v>
      </c>
      <c r="J136" s="160"/>
      <c r="K136" s="145">
        <f t="shared" si="51"/>
        <v>0.35</v>
      </c>
      <c r="L136" s="550">
        <f>SUM(G136-(G136*K136))</f>
        <v>3146</v>
      </c>
      <c r="M136" s="146">
        <f t="shared" si="52"/>
        <v>1352</v>
      </c>
      <c r="N136" s="358">
        <f>J136*M136</f>
        <v>0</v>
      </c>
      <c r="O136" s="338" t="s">
        <v>336</v>
      </c>
      <c r="P136" s="336">
        <v>0.36199999999999999</v>
      </c>
      <c r="Q136" s="367">
        <v>51</v>
      </c>
      <c r="R136" s="64"/>
      <c r="S136" s="92"/>
      <c r="T136" s="92"/>
      <c r="U136" s="92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</row>
    <row r="137" spans="1:56" s="66" customFormat="1" ht="15" customHeight="1">
      <c r="A137" s="666"/>
      <c r="B137" s="135" t="s">
        <v>185</v>
      </c>
      <c r="C137" s="662"/>
      <c r="D137" s="662"/>
      <c r="E137" s="535"/>
      <c r="F137" s="535"/>
      <c r="G137" s="664"/>
      <c r="H137" s="146">
        <v>2760</v>
      </c>
      <c r="I137" s="532"/>
      <c r="J137" s="160"/>
      <c r="K137" s="145">
        <f t="shared" si="51"/>
        <v>0.35</v>
      </c>
      <c r="L137" s="550"/>
      <c r="M137" s="146">
        <f t="shared" si="52"/>
        <v>1794</v>
      </c>
      <c r="N137" s="358">
        <f>J137*M137</f>
        <v>0</v>
      </c>
      <c r="O137" s="338" t="s">
        <v>334</v>
      </c>
      <c r="P137" s="336">
        <v>0.66900000000000004</v>
      </c>
      <c r="Q137" s="367">
        <v>117</v>
      </c>
      <c r="R137" s="64"/>
      <c r="S137" s="92"/>
      <c r="T137" s="92"/>
      <c r="U137" s="92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</row>
    <row r="138" spans="1:56" ht="15" customHeight="1">
      <c r="A138" s="661" t="s">
        <v>303</v>
      </c>
      <c r="B138" s="135" t="s">
        <v>193</v>
      </c>
      <c r="C138" s="535" t="s">
        <v>1033</v>
      </c>
      <c r="D138" s="535" t="s">
        <v>1034</v>
      </c>
      <c r="E138" s="535" t="s">
        <v>123</v>
      </c>
      <c r="F138" s="535" t="s">
        <v>136</v>
      </c>
      <c r="G138" s="663">
        <f t="shared" si="39"/>
        <v>6088</v>
      </c>
      <c r="H138" s="146">
        <v>3247</v>
      </c>
      <c r="I138" s="532">
        <v>411600</v>
      </c>
      <c r="J138" s="160"/>
      <c r="K138" s="145">
        <f t="shared" si="51"/>
        <v>0.35</v>
      </c>
      <c r="L138" s="550">
        <f>SUM(G138-(G138*K138))</f>
        <v>3957.2000000000003</v>
      </c>
      <c r="M138" s="146">
        <f t="shared" si="52"/>
        <v>2110.5500000000002</v>
      </c>
      <c r="N138" s="358">
        <f t="shared" si="38"/>
        <v>0</v>
      </c>
      <c r="O138" s="338" t="s">
        <v>336</v>
      </c>
      <c r="P138" s="336">
        <v>0.36199999999999999</v>
      </c>
      <c r="Q138" s="367">
        <v>51</v>
      </c>
      <c r="S138" s="92"/>
      <c r="T138" s="92"/>
      <c r="U138" s="92"/>
    </row>
    <row r="139" spans="1:56" ht="15" customHeight="1">
      <c r="A139" s="661"/>
      <c r="B139" s="135" t="s">
        <v>565</v>
      </c>
      <c r="C139" s="536"/>
      <c r="D139" s="536"/>
      <c r="E139" s="535"/>
      <c r="F139" s="535"/>
      <c r="G139" s="664"/>
      <c r="H139" s="146">
        <v>2841</v>
      </c>
      <c r="I139" s="532"/>
      <c r="J139" s="160"/>
      <c r="K139" s="145">
        <f t="shared" si="51"/>
        <v>0.35</v>
      </c>
      <c r="L139" s="550"/>
      <c r="M139" s="146">
        <f t="shared" si="52"/>
        <v>1846.65</v>
      </c>
      <c r="N139" s="358">
        <f t="shared" si="38"/>
        <v>0</v>
      </c>
      <c r="O139" s="338" t="s">
        <v>334</v>
      </c>
      <c r="P139" s="336">
        <v>0.66900000000000004</v>
      </c>
      <c r="Q139" s="367">
        <v>94</v>
      </c>
      <c r="S139" s="92"/>
      <c r="T139" s="92"/>
      <c r="U139" s="92"/>
    </row>
    <row r="140" spans="1:56" s="66" customFormat="1" ht="15" customHeight="1">
      <c r="A140" s="661" t="s">
        <v>304</v>
      </c>
      <c r="B140" s="135" t="s">
        <v>193</v>
      </c>
      <c r="C140" s="542" t="s">
        <v>1035</v>
      </c>
      <c r="D140" s="555" t="s">
        <v>1015</v>
      </c>
      <c r="E140" s="555" t="s">
        <v>135</v>
      </c>
      <c r="F140" s="555" t="s">
        <v>145</v>
      </c>
      <c r="G140" s="663">
        <f t="shared" si="39"/>
        <v>6347</v>
      </c>
      <c r="H140" s="146">
        <v>3247</v>
      </c>
      <c r="I140" s="532">
        <v>429100</v>
      </c>
      <c r="J140" s="160"/>
      <c r="K140" s="145">
        <f t="shared" si="51"/>
        <v>0.35</v>
      </c>
      <c r="L140" s="550">
        <f>SUM(G140-(G140*K140))</f>
        <v>4125.55</v>
      </c>
      <c r="M140" s="146">
        <f t="shared" si="52"/>
        <v>2110.5500000000002</v>
      </c>
      <c r="N140" s="358">
        <f t="shared" si="38"/>
        <v>0</v>
      </c>
      <c r="O140" s="338" t="s">
        <v>336</v>
      </c>
      <c r="P140" s="336">
        <v>0.36199999999999999</v>
      </c>
      <c r="Q140" s="367">
        <v>51</v>
      </c>
      <c r="R140" s="64"/>
      <c r="S140" s="92"/>
      <c r="T140" s="92"/>
      <c r="U140" s="92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</row>
    <row r="141" spans="1:56" s="66" customFormat="1" ht="15" customHeight="1">
      <c r="A141" s="665"/>
      <c r="B141" s="135" t="s">
        <v>189</v>
      </c>
      <c r="C141" s="662"/>
      <c r="D141" s="662"/>
      <c r="E141" s="555"/>
      <c r="F141" s="555"/>
      <c r="G141" s="664"/>
      <c r="H141" s="146">
        <v>3100</v>
      </c>
      <c r="I141" s="532"/>
      <c r="J141" s="160"/>
      <c r="K141" s="145">
        <f t="shared" si="51"/>
        <v>0.35</v>
      </c>
      <c r="L141" s="550"/>
      <c r="M141" s="146">
        <f t="shared" si="52"/>
        <v>2015</v>
      </c>
      <c r="N141" s="358">
        <f t="shared" si="38"/>
        <v>0</v>
      </c>
      <c r="O141" s="338" t="s">
        <v>334</v>
      </c>
      <c r="P141" s="336">
        <v>0.66900000000000004</v>
      </c>
      <c r="Q141" s="367">
        <v>117</v>
      </c>
      <c r="R141" s="64"/>
      <c r="S141" s="92"/>
      <c r="T141" s="92"/>
      <c r="U141" s="92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</row>
    <row r="142" spans="1:56" s="66" customFormat="1" ht="15" customHeight="1">
      <c r="A142" s="661" t="s">
        <v>239</v>
      </c>
      <c r="B142" s="135" t="s">
        <v>237</v>
      </c>
      <c r="C142" s="704" t="s">
        <v>1036</v>
      </c>
      <c r="D142" s="704" t="s">
        <v>1037</v>
      </c>
      <c r="E142" s="555" t="s">
        <v>240</v>
      </c>
      <c r="F142" s="555" t="s">
        <v>381</v>
      </c>
      <c r="G142" s="663">
        <f t="shared" si="39"/>
        <v>6786</v>
      </c>
      <c r="H142" s="146">
        <v>3474</v>
      </c>
      <c r="I142" s="532">
        <v>458800</v>
      </c>
      <c r="J142" s="160"/>
      <c r="K142" s="145">
        <f t="shared" si="51"/>
        <v>0.35</v>
      </c>
      <c r="L142" s="550">
        <f>SUM(G142-(G142*K142))</f>
        <v>4410.8999999999996</v>
      </c>
      <c r="M142" s="146">
        <f t="shared" si="52"/>
        <v>2258.1000000000004</v>
      </c>
      <c r="N142" s="358">
        <f t="shared" si="38"/>
        <v>0</v>
      </c>
      <c r="O142" s="175" t="s">
        <v>345</v>
      </c>
      <c r="P142" s="176">
        <v>0.46200000000000002</v>
      </c>
      <c r="Q142" s="403">
        <v>61</v>
      </c>
      <c r="R142" s="64"/>
      <c r="S142" s="92"/>
      <c r="T142" s="92"/>
      <c r="U142" s="92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</row>
    <row r="143" spans="1:56" s="66" customFormat="1" ht="15" customHeight="1">
      <c r="A143" s="665"/>
      <c r="B143" s="135" t="s">
        <v>238</v>
      </c>
      <c r="C143" s="705"/>
      <c r="D143" s="705"/>
      <c r="E143" s="555"/>
      <c r="F143" s="555"/>
      <c r="G143" s="664"/>
      <c r="H143" s="146">
        <v>3312</v>
      </c>
      <c r="I143" s="532"/>
      <c r="J143" s="160"/>
      <c r="K143" s="145">
        <f t="shared" si="51"/>
        <v>0.35</v>
      </c>
      <c r="L143" s="550"/>
      <c r="M143" s="146">
        <f t="shared" si="52"/>
        <v>2152.8000000000002</v>
      </c>
      <c r="N143" s="358">
        <f t="shared" si="38"/>
        <v>0</v>
      </c>
      <c r="O143" s="175" t="s">
        <v>343</v>
      </c>
      <c r="P143" s="336">
        <v>0.66800000000000004</v>
      </c>
      <c r="Q143" s="367">
        <v>113</v>
      </c>
      <c r="R143" s="64"/>
      <c r="S143" s="92"/>
      <c r="T143" s="92"/>
      <c r="U143" s="92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</row>
    <row r="144" spans="1:56" s="66" customFormat="1" ht="15" customHeight="1">
      <c r="A144" s="661" t="s">
        <v>1371</v>
      </c>
      <c r="B144" s="135" t="s">
        <v>1370</v>
      </c>
      <c r="C144" s="704" t="s">
        <v>727</v>
      </c>
      <c r="D144" s="704" t="s">
        <v>1038</v>
      </c>
      <c r="E144" s="542" t="s">
        <v>724</v>
      </c>
      <c r="F144" s="542" t="s">
        <v>725</v>
      </c>
      <c r="G144" s="663">
        <f t="shared" si="39"/>
        <v>7963</v>
      </c>
      <c r="H144" s="146">
        <v>4061</v>
      </c>
      <c r="I144" s="532">
        <v>538400</v>
      </c>
      <c r="J144" s="160"/>
      <c r="K144" s="145">
        <f t="shared" si="51"/>
        <v>0.35</v>
      </c>
      <c r="L144" s="550">
        <f>SUM(G144-(G144*K144))</f>
        <v>5175.9500000000007</v>
      </c>
      <c r="M144" s="146">
        <f t="shared" si="52"/>
        <v>2639.65</v>
      </c>
      <c r="N144" s="358">
        <f>J144*M144</f>
        <v>0</v>
      </c>
      <c r="O144" s="175" t="s">
        <v>346</v>
      </c>
      <c r="P144" s="176">
        <v>0.79400000000000004</v>
      </c>
      <c r="Q144" s="403">
        <v>115</v>
      </c>
      <c r="R144" s="64"/>
      <c r="S144" s="92"/>
      <c r="T144" s="92"/>
      <c r="U144" s="92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</row>
    <row r="145" spans="1:52" s="66" customFormat="1" ht="15" customHeight="1">
      <c r="A145" s="665"/>
      <c r="B145" s="135" t="s">
        <v>668</v>
      </c>
      <c r="C145" s="705"/>
      <c r="D145" s="705"/>
      <c r="E145" s="542"/>
      <c r="F145" s="542"/>
      <c r="G145" s="664"/>
      <c r="H145" s="146">
        <v>3902</v>
      </c>
      <c r="I145" s="532"/>
      <c r="J145" s="160"/>
      <c r="K145" s="145">
        <f t="shared" si="51"/>
        <v>0.35</v>
      </c>
      <c r="L145" s="550"/>
      <c r="M145" s="146">
        <f t="shared" si="52"/>
        <v>2536.3000000000002</v>
      </c>
      <c r="N145" s="358">
        <f>J145*M145</f>
        <v>0</v>
      </c>
      <c r="O145" s="175" t="s">
        <v>347</v>
      </c>
      <c r="P145" s="176">
        <v>1.5369999999999999</v>
      </c>
      <c r="Q145" s="403">
        <v>243</v>
      </c>
      <c r="R145" s="64"/>
      <c r="S145" s="92"/>
      <c r="T145" s="92"/>
      <c r="U145" s="92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</row>
    <row r="146" spans="1:52" s="66" customFormat="1" ht="15" customHeight="1">
      <c r="A146" s="661" t="s">
        <v>1373</v>
      </c>
      <c r="B146" s="135" t="s">
        <v>1372</v>
      </c>
      <c r="C146" s="704" t="s">
        <v>728</v>
      </c>
      <c r="D146" s="704" t="s">
        <v>729</v>
      </c>
      <c r="E146" s="542" t="s">
        <v>1039</v>
      </c>
      <c r="F146" s="542" t="s">
        <v>726</v>
      </c>
      <c r="G146" s="663">
        <f>H146+H147</f>
        <v>8422</v>
      </c>
      <c r="H146" s="146">
        <v>4295</v>
      </c>
      <c r="I146" s="532">
        <v>569400</v>
      </c>
      <c r="J146" s="160"/>
      <c r="K146" s="145">
        <f t="shared" si="51"/>
        <v>0.35</v>
      </c>
      <c r="L146" s="550">
        <f>SUM(G146-(G146*K146))</f>
        <v>5474.3</v>
      </c>
      <c r="M146" s="146">
        <f t="shared" si="52"/>
        <v>2791.75</v>
      </c>
      <c r="N146" s="358">
        <f>J146*M146</f>
        <v>0</v>
      </c>
      <c r="O146" s="175" t="s">
        <v>348</v>
      </c>
      <c r="P146" s="176">
        <v>0.93799999999999994</v>
      </c>
      <c r="Q146" s="403">
        <v>125</v>
      </c>
      <c r="R146" s="64"/>
      <c r="S146" s="92"/>
      <c r="T146" s="92"/>
      <c r="U146" s="92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</row>
    <row r="147" spans="1:52" s="66" customFormat="1" ht="15" customHeight="1">
      <c r="A147" s="665"/>
      <c r="B147" s="135" t="s">
        <v>705</v>
      </c>
      <c r="C147" s="705"/>
      <c r="D147" s="705"/>
      <c r="E147" s="542"/>
      <c r="F147" s="542"/>
      <c r="G147" s="664"/>
      <c r="H147" s="146">
        <v>4127</v>
      </c>
      <c r="I147" s="532"/>
      <c r="J147" s="160"/>
      <c r="K147" s="145">
        <f t="shared" si="51"/>
        <v>0.35</v>
      </c>
      <c r="L147" s="550"/>
      <c r="M147" s="146">
        <f t="shared" si="52"/>
        <v>2682.55</v>
      </c>
      <c r="N147" s="358">
        <f>J147*M147</f>
        <v>0</v>
      </c>
      <c r="O147" s="175" t="s">
        <v>347</v>
      </c>
      <c r="P147" s="176">
        <v>1.5369999999999999</v>
      </c>
      <c r="Q147" s="403">
        <v>243</v>
      </c>
      <c r="R147" s="64"/>
      <c r="S147" s="92"/>
      <c r="T147" s="92"/>
      <c r="U147" s="92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</row>
    <row r="148" spans="1:52" s="73" customFormat="1" ht="52.25" customHeight="1">
      <c r="A148" s="706" t="s">
        <v>497</v>
      </c>
      <c r="B148" s="707"/>
      <c r="C148" s="707"/>
      <c r="D148" s="707"/>
      <c r="E148" s="707"/>
      <c r="F148" s="707"/>
      <c r="G148" s="707"/>
      <c r="H148" s="707"/>
      <c r="I148" s="707"/>
      <c r="J148" s="707"/>
      <c r="K148" s="707"/>
      <c r="L148" s="707"/>
      <c r="M148" s="707"/>
      <c r="N148" s="149"/>
      <c r="O148" s="150"/>
      <c r="P148" s="150"/>
      <c r="Q148" s="399"/>
      <c r="R148" s="57"/>
      <c r="S148" s="92"/>
      <c r="T148" s="92"/>
      <c r="U148" s="92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</row>
    <row r="149" spans="1:52" s="66" customFormat="1" ht="15" customHeight="1">
      <c r="A149" s="666" t="s">
        <v>1374</v>
      </c>
      <c r="B149" s="135" t="s">
        <v>1378</v>
      </c>
      <c r="C149" s="542" t="s">
        <v>1020</v>
      </c>
      <c r="D149" s="542" t="s">
        <v>1379</v>
      </c>
      <c r="E149" s="535" t="s">
        <v>1380</v>
      </c>
      <c r="F149" s="535" t="s">
        <v>1123</v>
      </c>
      <c r="G149" s="663">
        <f t="shared" ref="G149" si="53">H149+H150</f>
        <v>4653</v>
      </c>
      <c r="H149" s="146">
        <v>1678</v>
      </c>
      <c r="I149" s="532">
        <v>314700</v>
      </c>
      <c r="J149" s="160"/>
      <c r="K149" s="145">
        <f t="shared" ref="K149:K156" si="54">$D$3</f>
        <v>0.35</v>
      </c>
      <c r="L149" s="550">
        <f>SUM(G149-(G149*K149))</f>
        <v>3024.45</v>
      </c>
      <c r="M149" s="146">
        <f t="shared" ref="M149:M156" si="55">SUM(H149-(H149*K149))</f>
        <v>1090.7</v>
      </c>
      <c r="N149" s="358">
        <f t="shared" ref="N149:N150" si="56">J149*M149</f>
        <v>0</v>
      </c>
      <c r="O149" s="338" t="s">
        <v>336</v>
      </c>
      <c r="P149" s="336">
        <v>0.36199999999999999</v>
      </c>
      <c r="Q149" s="367">
        <v>45</v>
      </c>
      <c r="R149" s="64"/>
      <c r="S149" s="92"/>
      <c r="T149" s="92"/>
      <c r="U149" s="92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</row>
    <row r="150" spans="1:52" s="66" customFormat="1" ht="15" customHeight="1">
      <c r="A150" s="666"/>
      <c r="B150" s="135" t="s">
        <v>1171</v>
      </c>
      <c r="C150" s="662"/>
      <c r="D150" s="662"/>
      <c r="E150" s="535"/>
      <c r="F150" s="535"/>
      <c r="G150" s="664"/>
      <c r="H150" s="146">
        <v>2975</v>
      </c>
      <c r="I150" s="532"/>
      <c r="J150" s="160"/>
      <c r="K150" s="145">
        <f t="shared" si="54"/>
        <v>0.35</v>
      </c>
      <c r="L150" s="550"/>
      <c r="M150" s="146">
        <f t="shared" si="55"/>
        <v>1933.75</v>
      </c>
      <c r="N150" s="358">
        <f t="shared" si="56"/>
        <v>0</v>
      </c>
      <c r="O150" s="338" t="s">
        <v>1192</v>
      </c>
      <c r="P150" s="336">
        <v>0.3</v>
      </c>
      <c r="Q150" s="370">
        <v>75</v>
      </c>
      <c r="R150" s="64"/>
      <c r="S150" s="92"/>
      <c r="T150" s="92"/>
      <c r="U150" s="92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</row>
    <row r="151" spans="1:52" s="66" customFormat="1" ht="15" customHeight="1">
      <c r="A151" s="666" t="s">
        <v>1375</v>
      </c>
      <c r="B151" s="135" t="s">
        <v>1378</v>
      </c>
      <c r="C151" s="542" t="s">
        <v>1020</v>
      </c>
      <c r="D151" s="542" t="s">
        <v>1379</v>
      </c>
      <c r="E151" s="535" t="s">
        <v>1380</v>
      </c>
      <c r="F151" s="535" t="s">
        <v>1123</v>
      </c>
      <c r="G151" s="663">
        <f t="shared" ref="G151" si="57">H151+H152</f>
        <v>5099</v>
      </c>
      <c r="H151" s="146">
        <v>1678</v>
      </c>
      <c r="I151" s="532">
        <v>344800</v>
      </c>
      <c r="J151" s="160"/>
      <c r="K151" s="145">
        <f t="shared" si="54"/>
        <v>0.35</v>
      </c>
      <c r="L151" s="550">
        <f>SUM(G151-(G151*K151))</f>
        <v>3314.3500000000004</v>
      </c>
      <c r="M151" s="146">
        <f t="shared" si="55"/>
        <v>1090.7</v>
      </c>
      <c r="N151" s="358">
        <f>J151*M151</f>
        <v>0</v>
      </c>
      <c r="O151" s="338" t="s">
        <v>336</v>
      </c>
      <c r="P151" s="336">
        <v>0.36199999999999999</v>
      </c>
      <c r="Q151" s="367">
        <v>47</v>
      </c>
      <c r="R151" s="64"/>
      <c r="S151" s="92"/>
      <c r="T151" s="92"/>
      <c r="U151" s="92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</row>
    <row r="152" spans="1:52" s="66" customFormat="1" ht="15" customHeight="1">
      <c r="A152" s="666"/>
      <c r="B152" s="135" t="s">
        <v>1194</v>
      </c>
      <c r="C152" s="662"/>
      <c r="D152" s="662"/>
      <c r="E152" s="535"/>
      <c r="F152" s="535"/>
      <c r="G152" s="664"/>
      <c r="H152" s="146">
        <v>3421</v>
      </c>
      <c r="I152" s="532"/>
      <c r="J152" s="160"/>
      <c r="K152" s="145">
        <f t="shared" si="54"/>
        <v>0.35</v>
      </c>
      <c r="L152" s="550"/>
      <c r="M152" s="146">
        <f t="shared" si="55"/>
        <v>2223.65</v>
      </c>
      <c r="N152" s="358">
        <f>J152*M152</f>
        <v>0</v>
      </c>
      <c r="O152" s="338" t="s">
        <v>1192</v>
      </c>
      <c r="P152" s="336">
        <v>0.3</v>
      </c>
      <c r="Q152" s="370">
        <v>75</v>
      </c>
      <c r="R152" s="64"/>
      <c r="S152" s="92"/>
      <c r="T152" s="92"/>
      <c r="U152" s="92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</row>
    <row r="153" spans="1:52" ht="15" customHeight="1">
      <c r="A153" s="661" t="s">
        <v>1376</v>
      </c>
      <c r="B153" s="135" t="s">
        <v>1404</v>
      </c>
      <c r="C153" s="542" t="s">
        <v>1033</v>
      </c>
      <c r="D153" s="556" t="s">
        <v>1381</v>
      </c>
      <c r="E153" s="535" t="s">
        <v>123</v>
      </c>
      <c r="F153" s="535" t="s">
        <v>133</v>
      </c>
      <c r="G153" s="663">
        <f t="shared" ref="G153" si="58">H153+H154</f>
        <v>6104</v>
      </c>
      <c r="H153" s="146">
        <v>2851</v>
      </c>
      <c r="I153" s="532">
        <v>412800</v>
      </c>
      <c r="J153" s="160"/>
      <c r="K153" s="145">
        <f t="shared" si="54"/>
        <v>0.35</v>
      </c>
      <c r="L153" s="550">
        <f>SUM(G153-(G153*K153))</f>
        <v>3967.6</v>
      </c>
      <c r="M153" s="146">
        <f t="shared" si="55"/>
        <v>1853.15</v>
      </c>
      <c r="N153" s="358">
        <f t="shared" ref="N153:N156" si="59">J153*M153</f>
        <v>0</v>
      </c>
      <c r="O153" s="338" t="s">
        <v>336</v>
      </c>
      <c r="P153" s="336">
        <v>0.36199999999999999</v>
      </c>
      <c r="Q153" s="367">
        <v>45</v>
      </c>
      <c r="S153" s="92"/>
      <c r="T153" s="92"/>
      <c r="U153" s="92"/>
    </row>
    <row r="154" spans="1:52" ht="15" customHeight="1">
      <c r="A154" s="661"/>
      <c r="B154" s="135" t="s">
        <v>1173</v>
      </c>
      <c r="C154" s="662"/>
      <c r="D154" s="536"/>
      <c r="E154" s="535"/>
      <c r="F154" s="535"/>
      <c r="G154" s="664"/>
      <c r="H154" s="146">
        <v>3253</v>
      </c>
      <c r="I154" s="532"/>
      <c r="J154" s="160"/>
      <c r="K154" s="145">
        <f t="shared" si="54"/>
        <v>0.35</v>
      </c>
      <c r="L154" s="550"/>
      <c r="M154" s="146">
        <f t="shared" si="55"/>
        <v>2114.4499999999998</v>
      </c>
      <c r="N154" s="358">
        <f t="shared" si="59"/>
        <v>0</v>
      </c>
      <c r="O154" s="338" t="s">
        <v>1192</v>
      </c>
      <c r="P154" s="336">
        <v>0.3</v>
      </c>
      <c r="Q154" s="370">
        <v>75</v>
      </c>
      <c r="S154" s="92"/>
      <c r="T154" s="92"/>
      <c r="U154" s="92"/>
    </row>
    <row r="155" spans="1:52" s="66" customFormat="1" ht="15" customHeight="1">
      <c r="A155" s="661" t="s">
        <v>1377</v>
      </c>
      <c r="B155" s="135" t="s">
        <v>1404</v>
      </c>
      <c r="C155" s="542" t="s">
        <v>1033</v>
      </c>
      <c r="D155" s="556" t="s">
        <v>1381</v>
      </c>
      <c r="E155" s="535" t="s">
        <v>123</v>
      </c>
      <c r="F155" s="535" t="s">
        <v>133</v>
      </c>
      <c r="G155" s="663">
        <f t="shared" ref="G155" si="60">H155+H156</f>
        <v>6591</v>
      </c>
      <c r="H155" s="146">
        <v>2851</v>
      </c>
      <c r="I155" s="532">
        <v>445700</v>
      </c>
      <c r="J155" s="160"/>
      <c r="K155" s="145">
        <f t="shared" si="54"/>
        <v>0.35</v>
      </c>
      <c r="L155" s="550">
        <f>SUM(G155-(G155*K155))</f>
        <v>4284.1499999999996</v>
      </c>
      <c r="M155" s="146">
        <f t="shared" si="55"/>
        <v>1853.15</v>
      </c>
      <c r="N155" s="358">
        <f t="shared" si="59"/>
        <v>0</v>
      </c>
      <c r="O155" s="338" t="s">
        <v>336</v>
      </c>
      <c r="P155" s="336">
        <v>0.36199999999999999</v>
      </c>
      <c r="Q155" s="367">
        <v>47</v>
      </c>
      <c r="R155" s="64"/>
      <c r="S155" s="92"/>
      <c r="T155" s="92"/>
      <c r="U155" s="92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</row>
    <row r="156" spans="1:52" s="66" customFormat="1" ht="15" customHeight="1">
      <c r="A156" s="665"/>
      <c r="B156" s="135" t="s">
        <v>1200</v>
      </c>
      <c r="C156" s="662"/>
      <c r="D156" s="536"/>
      <c r="E156" s="535"/>
      <c r="F156" s="535"/>
      <c r="G156" s="664"/>
      <c r="H156" s="146">
        <v>3740</v>
      </c>
      <c r="I156" s="532"/>
      <c r="J156" s="160"/>
      <c r="K156" s="145">
        <f t="shared" si="54"/>
        <v>0.35</v>
      </c>
      <c r="L156" s="550"/>
      <c r="M156" s="146">
        <f t="shared" si="55"/>
        <v>2431</v>
      </c>
      <c r="N156" s="358">
        <f t="shared" si="59"/>
        <v>0</v>
      </c>
      <c r="O156" s="338" t="s">
        <v>1192</v>
      </c>
      <c r="P156" s="336">
        <v>0.3</v>
      </c>
      <c r="Q156" s="370">
        <v>75</v>
      </c>
      <c r="R156" s="64"/>
      <c r="S156" s="92"/>
      <c r="T156" s="92"/>
      <c r="U156" s="92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</row>
    <row r="157" spans="1:52" ht="30" customHeight="1">
      <c r="A157" s="652" t="s">
        <v>51</v>
      </c>
      <c r="B157" s="653"/>
      <c r="C157" s="653"/>
      <c r="D157" s="653"/>
      <c r="E157" s="653"/>
      <c r="F157" s="653"/>
      <c r="G157" s="653"/>
      <c r="H157" s="653"/>
      <c r="I157" s="653"/>
      <c r="J157" s="653"/>
      <c r="K157" s="653"/>
      <c r="L157" s="653"/>
      <c r="M157" s="653"/>
      <c r="N157" s="149"/>
      <c r="O157" s="150"/>
      <c r="P157" s="150"/>
      <c r="Q157" s="399"/>
      <c r="T157" s="92"/>
      <c r="AS157" s="7"/>
      <c r="AT157" s="7"/>
      <c r="AU157" s="7"/>
      <c r="AV157" s="7"/>
      <c r="AW157" s="7"/>
      <c r="AX157" s="7"/>
      <c r="AY157" s="7"/>
      <c r="AZ157" s="7"/>
    </row>
    <row r="158" spans="1:52" ht="64.75" customHeight="1">
      <c r="A158" s="400"/>
      <c r="B158" s="575" t="s">
        <v>365</v>
      </c>
      <c r="C158" s="575"/>
      <c r="D158" s="575"/>
      <c r="E158" s="551" t="s">
        <v>364</v>
      </c>
      <c r="F158" s="551"/>
      <c r="G158" s="551"/>
      <c r="H158" s="172" t="s">
        <v>494</v>
      </c>
      <c r="I158" s="346" t="s">
        <v>740</v>
      </c>
      <c r="J158" s="341" t="s">
        <v>28</v>
      </c>
      <c r="K158" s="341" t="s">
        <v>22</v>
      </c>
      <c r="L158" s="173" t="s">
        <v>490</v>
      </c>
      <c r="M158" s="159"/>
      <c r="N158" s="173" t="s">
        <v>27</v>
      </c>
      <c r="O158" s="551" t="s">
        <v>23</v>
      </c>
      <c r="P158" s="551"/>
      <c r="Q158" s="379" t="s">
        <v>24</v>
      </c>
      <c r="T158" s="92"/>
      <c r="AS158" s="7"/>
      <c r="AT158" s="7"/>
      <c r="AU158" s="7"/>
      <c r="AV158" s="7"/>
      <c r="AW158" s="7"/>
      <c r="AX158" s="7"/>
      <c r="AY158" s="7"/>
      <c r="AZ158" s="7"/>
    </row>
    <row r="159" spans="1:52" ht="36.75" customHeight="1">
      <c r="A159" s="380" t="s">
        <v>1143</v>
      </c>
      <c r="B159" s="547" t="s">
        <v>376</v>
      </c>
      <c r="C159" s="547"/>
      <c r="D159" s="547"/>
      <c r="E159" s="548" t="s">
        <v>367</v>
      </c>
      <c r="F159" s="548"/>
      <c r="G159" s="548"/>
      <c r="H159" s="354">
        <v>792</v>
      </c>
      <c r="I159" s="329">
        <v>51500</v>
      </c>
      <c r="J159" s="160"/>
      <c r="K159" s="145">
        <f t="shared" ref="K159:K182" si="61">$D$3</f>
        <v>0.35</v>
      </c>
      <c r="L159" s="340">
        <f t="shared" ref="L159:L182" si="62">SUM(H159-(H159*K159))</f>
        <v>514.79999999999995</v>
      </c>
      <c r="M159" s="161"/>
      <c r="N159" s="331">
        <f>J159*L159</f>
        <v>0</v>
      </c>
      <c r="O159" s="545">
        <v>1.6E-2</v>
      </c>
      <c r="P159" s="545"/>
      <c r="Q159" s="403">
        <v>2</v>
      </c>
      <c r="S159" s="92"/>
      <c r="T159" s="92"/>
      <c r="U159" s="92"/>
    </row>
    <row r="160" spans="1:52" ht="36.75" customHeight="1">
      <c r="A160" s="380" t="s">
        <v>1144</v>
      </c>
      <c r="B160" s="547" t="s">
        <v>244</v>
      </c>
      <c r="C160" s="547"/>
      <c r="D160" s="547"/>
      <c r="E160" s="548"/>
      <c r="F160" s="548"/>
      <c r="G160" s="548"/>
      <c r="H160" s="354">
        <v>442</v>
      </c>
      <c r="I160" s="329">
        <v>28800</v>
      </c>
      <c r="J160" s="160"/>
      <c r="K160" s="145">
        <f t="shared" si="61"/>
        <v>0.35</v>
      </c>
      <c r="L160" s="340">
        <f t="shared" si="62"/>
        <v>287.3</v>
      </c>
      <c r="M160" s="161"/>
      <c r="N160" s="331">
        <f>J160*L160</f>
        <v>0</v>
      </c>
      <c r="O160" s="545">
        <v>1.6E-2</v>
      </c>
      <c r="P160" s="545"/>
      <c r="Q160" s="403">
        <v>2</v>
      </c>
      <c r="S160" s="92"/>
      <c r="T160" s="92"/>
      <c r="U160" s="92"/>
    </row>
    <row r="161" spans="1:58" ht="36.75" customHeight="1">
      <c r="A161" s="380" t="s">
        <v>1145</v>
      </c>
      <c r="B161" s="547" t="s">
        <v>377</v>
      </c>
      <c r="C161" s="547"/>
      <c r="D161" s="547"/>
      <c r="E161" s="548"/>
      <c r="F161" s="548"/>
      <c r="G161" s="548"/>
      <c r="H161" s="354">
        <v>456</v>
      </c>
      <c r="I161" s="329">
        <v>29700</v>
      </c>
      <c r="J161" s="160"/>
      <c r="K161" s="145">
        <f t="shared" si="61"/>
        <v>0.35</v>
      </c>
      <c r="L161" s="340">
        <f t="shared" si="62"/>
        <v>296.39999999999998</v>
      </c>
      <c r="M161" s="161"/>
      <c r="N161" s="331">
        <f>J161*L161</f>
        <v>0</v>
      </c>
      <c r="O161" s="545">
        <v>6.0000000000000001E-3</v>
      </c>
      <c r="P161" s="545"/>
      <c r="Q161" s="367">
        <v>0.27</v>
      </c>
      <c r="S161" s="92"/>
      <c r="T161" s="92"/>
      <c r="U161" s="92"/>
    </row>
    <row r="162" spans="1:58" ht="36.75" customHeight="1">
      <c r="A162" s="380" t="s">
        <v>1146</v>
      </c>
      <c r="B162" s="547" t="s">
        <v>393</v>
      </c>
      <c r="C162" s="547"/>
      <c r="D162" s="547"/>
      <c r="E162" s="548"/>
      <c r="F162" s="548"/>
      <c r="G162" s="548"/>
      <c r="H162" s="354">
        <v>590</v>
      </c>
      <c r="I162" s="329">
        <v>38400</v>
      </c>
      <c r="J162" s="160"/>
      <c r="K162" s="145">
        <f t="shared" si="61"/>
        <v>0.35</v>
      </c>
      <c r="L162" s="340">
        <f t="shared" si="62"/>
        <v>383.5</v>
      </c>
      <c r="M162" s="161"/>
      <c r="N162" s="331">
        <f t="shared" ref="N162:N171" si="63">J162*L162</f>
        <v>0</v>
      </c>
      <c r="O162" s="545">
        <v>6.0000000000000001E-3</v>
      </c>
      <c r="P162" s="545"/>
      <c r="Q162" s="367">
        <v>0.27</v>
      </c>
      <c r="S162" s="92"/>
      <c r="T162" s="92"/>
      <c r="U162" s="92"/>
    </row>
    <row r="163" spans="1:58" ht="36.75" customHeight="1">
      <c r="A163" s="380" t="s">
        <v>1133</v>
      </c>
      <c r="B163" s="547" t="s">
        <v>686</v>
      </c>
      <c r="C163" s="547"/>
      <c r="D163" s="547"/>
      <c r="E163" s="548"/>
      <c r="F163" s="548"/>
      <c r="G163" s="548"/>
      <c r="H163" s="354">
        <v>156</v>
      </c>
      <c r="I163" s="329">
        <v>10200</v>
      </c>
      <c r="J163" s="160"/>
      <c r="K163" s="145">
        <f t="shared" si="61"/>
        <v>0.35</v>
      </c>
      <c r="L163" s="340">
        <f t="shared" si="62"/>
        <v>101.4</v>
      </c>
      <c r="M163" s="161"/>
      <c r="N163" s="331">
        <f>J163*L163</f>
        <v>0</v>
      </c>
      <c r="O163" s="545">
        <v>1.6E-2</v>
      </c>
      <c r="P163" s="545"/>
      <c r="Q163" s="367">
        <v>1.5</v>
      </c>
      <c r="S163" s="92"/>
      <c r="T163" s="92"/>
      <c r="U163" s="92"/>
    </row>
    <row r="164" spans="1:58" ht="36.75" customHeight="1">
      <c r="A164" s="380" t="s">
        <v>1382</v>
      </c>
      <c r="B164" s="547" t="s">
        <v>686</v>
      </c>
      <c r="C164" s="547"/>
      <c r="D164" s="547"/>
      <c r="E164" s="548" t="s">
        <v>811</v>
      </c>
      <c r="F164" s="548"/>
      <c r="G164" s="548"/>
      <c r="H164" s="146">
        <v>156</v>
      </c>
      <c r="I164" s="329">
        <v>10200</v>
      </c>
      <c r="J164" s="160"/>
      <c r="K164" s="145">
        <f t="shared" si="61"/>
        <v>0.35</v>
      </c>
      <c r="L164" s="340">
        <f t="shared" si="62"/>
        <v>101.4</v>
      </c>
      <c r="M164" s="161"/>
      <c r="N164" s="331">
        <f>J164*L164</f>
        <v>0</v>
      </c>
      <c r="O164" s="545">
        <v>1.6E-2</v>
      </c>
      <c r="P164" s="545"/>
      <c r="Q164" s="367">
        <v>1.5</v>
      </c>
      <c r="S164" s="92"/>
      <c r="T164" s="92"/>
      <c r="U164" s="92"/>
    </row>
    <row r="165" spans="1:58" ht="42" customHeight="1">
      <c r="A165" s="380" t="s">
        <v>1135</v>
      </c>
      <c r="B165" s="547" t="s">
        <v>688</v>
      </c>
      <c r="C165" s="547"/>
      <c r="D165" s="547"/>
      <c r="E165" s="547" t="s">
        <v>793</v>
      </c>
      <c r="F165" s="547"/>
      <c r="G165" s="547"/>
      <c r="H165" s="354">
        <v>221</v>
      </c>
      <c r="I165" s="329">
        <v>14400</v>
      </c>
      <c r="J165" s="160"/>
      <c r="K165" s="145">
        <f t="shared" si="61"/>
        <v>0.35</v>
      </c>
      <c r="L165" s="340">
        <f t="shared" si="62"/>
        <v>143.65</v>
      </c>
      <c r="M165" s="161"/>
      <c r="N165" s="331">
        <f t="shared" si="63"/>
        <v>0</v>
      </c>
      <c r="O165" s="545">
        <v>0.02</v>
      </c>
      <c r="P165" s="545"/>
      <c r="Q165" s="403">
        <v>1.1000000000000001</v>
      </c>
      <c r="S165" s="92"/>
      <c r="T165" s="92"/>
      <c r="U165" s="92"/>
      <c r="AX165" s="7"/>
      <c r="AY165" s="7"/>
      <c r="AZ165" s="7"/>
    </row>
    <row r="166" spans="1:58" ht="42" customHeight="1">
      <c r="A166" s="380" t="s">
        <v>1136</v>
      </c>
      <c r="B166" s="547" t="s">
        <v>688</v>
      </c>
      <c r="C166" s="547"/>
      <c r="D166" s="547"/>
      <c r="E166" s="547" t="s">
        <v>793</v>
      </c>
      <c r="F166" s="547"/>
      <c r="G166" s="547"/>
      <c r="H166" s="354">
        <v>333</v>
      </c>
      <c r="I166" s="329">
        <v>21700</v>
      </c>
      <c r="J166" s="160"/>
      <c r="K166" s="145">
        <f t="shared" si="61"/>
        <v>0.35</v>
      </c>
      <c r="L166" s="340">
        <f t="shared" si="62"/>
        <v>216.45</v>
      </c>
      <c r="M166" s="161"/>
      <c r="N166" s="331">
        <f t="shared" si="63"/>
        <v>0</v>
      </c>
      <c r="O166" s="545">
        <v>0.02</v>
      </c>
      <c r="P166" s="545"/>
      <c r="Q166" s="403">
        <v>1.1000000000000001</v>
      </c>
      <c r="S166" s="92"/>
      <c r="T166" s="92"/>
      <c r="U166" s="92"/>
      <c r="AX166" s="7"/>
      <c r="AY166" s="7"/>
      <c r="AZ166" s="7"/>
    </row>
    <row r="167" spans="1:58" ht="41.25" customHeight="1">
      <c r="A167" s="380" t="s">
        <v>1383</v>
      </c>
      <c r="B167" s="547" t="s">
        <v>383</v>
      </c>
      <c r="C167" s="547"/>
      <c r="D167" s="547"/>
      <c r="E167" s="547" t="s">
        <v>782</v>
      </c>
      <c r="F167" s="547"/>
      <c r="G167" s="547"/>
      <c r="H167" s="146">
        <v>377</v>
      </c>
      <c r="I167" s="329">
        <v>24600</v>
      </c>
      <c r="J167" s="160"/>
      <c r="K167" s="145">
        <f t="shared" si="61"/>
        <v>0.35</v>
      </c>
      <c r="L167" s="340">
        <f t="shared" si="62"/>
        <v>245.05</v>
      </c>
      <c r="M167" s="161"/>
      <c r="N167" s="331">
        <f t="shared" si="63"/>
        <v>0</v>
      </c>
      <c r="O167" s="545">
        <v>8.6999999999999994E-2</v>
      </c>
      <c r="P167" s="545"/>
      <c r="Q167" s="367">
        <v>16.399999999999999</v>
      </c>
      <c r="S167" s="92"/>
      <c r="T167" s="92"/>
      <c r="U167" s="92"/>
    </row>
    <row r="168" spans="1:58" ht="41.25" customHeight="1">
      <c r="A168" s="380" t="s">
        <v>1384</v>
      </c>
      <c r="B168" s="547" t="s">
        <v>382</v>
      </c>
      <c r="C168" s="547"/>
      <c r="D168" s="547"/>
      <c r="E168" s="547" t="s">
        <v>783</v>
      </c>
      <c r="F168" s="547"/>
      <c r="G168" s="547"/>
      <c r="H168" s="146">
        <v>161</v>
      </c>
      <c r="I168" s="329">
        <v>10500</v>
      </c>
      <c r="J168" s="160"/>
      <c r="K168" s="145">
        <f t="shared" si="61"/>
        <v>0.35</v>
      </c>
      <c r="L168" s="340">
        <f t="shared" si="62"/>
        <v>104.65</v>
      </c>
      <c r="M168" s="161"/>
      <c r="N168" s="331">
        <f t="shared" si="63"/>
        <v>0</v>
      </c>
      <c r="O168" s="545">
        <v>5.0000000000000001E-3</v>
      </c>
      <c r="P168" s="545"/>
      <c r="Q168" s="409">
        <v>1.5</v>
      </c>
      <c r="S168" s="92"/>
      <c r="T168" s="92"/>
      <c r="U168" s="92"/>
    </row>
    <row r="169" spans="1:58" s="5" customFormat="1" ht="54" customHeight="1">
      <c r="A169" s="402" t="s">
        <v>1385</v>
      </c>
      <c r="B169" s="547" t="s">
        <v>796</v>
      </c>
      <c r="C169" s="547"/>
      <c r="D169" s="547"/>
      <c r="E169" s="547" t="s">
        <v>707</v>
      </c>
      <c r="F169" s="547"/>
      <c r="G169" s="547"/>
      <c r="H169" s="146">
        <v>216</v>
      </c>
      <c r="I169" s="329">
        <v>14100</v>
      </c>
      <c r="J169" s="160"/>
      <c r="K169" s="145">
        <f t="shared" si="61"/>
        <v>0.35</v>
      </c>
      <c r="L169" s="340">
        <f t="shared" si="62"/>
        <v>140.4</v>
      </c>
      <c r="M169" s="161"/>
      <c r="N169" s="331">
        <f>L169*J169</f>
        <v>0</v>
      </c>
      <c r="O169" s="546">
        <v>2.5000000000000001E-2</v>
      </c>
      <c r="P169" s="546"/>
      <c r="Q169" s="381">
        <v>3</v>
      </c>
      <c r="R169" s="38"/>
      <c r="S169" s="92"/>
      <c r="T169" s="92"/>
      <c r="U169" s="92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</row>
    <row r="170" spans="1:58" s="5" customFormat="1" ht="54" customHeight="1">
      <c r="A170" s="402" t="s">
        <v>1386</v>
      </c>
      <c r="B170" s="547" t="s">
        <v>678</v>
      </c>
      <c r="C170" s="547"/>
      <c r="D170" s="547"/>
      <c r="E170" s="547" t="s">
        <v>69</v>
      </c>
      <c r="F170" s="547"/>
      <c r="G170" s="547"/>
      <c r="H170" s="146">
        <v>232</v>
      </c>
      <c r="I170" s="329">
        <v>15100</v>
      </c>
      <c r="J170" s="160"/>
      <c r="K170" s="145">
        <f t="shared" si="61"/>
        <v>0.35</v>
      </c>
      <c r="L170" s="340">
        <f t="shared" si="62"/>
        <v>150.80000000000001</v>
      </c>
      <c r="M170" s="161"/>
      <c r="N170" s="331">
        <f>L170*J170</f>
        <v>0</v>
      </c>
      <c r="O170" s="546">
        <v>3.1E-2</v>
      </c>
      <c r="P170" s="546"/>
      <c r="Q170" s="381">
        <v>3.2</v>
      </c>
      <c r="R170" s="38"/>
      <c r="S170" s="92"/>
      <c r="T170" s="92"/>
      <c r="U170" s="92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</row>
    <row r="171" spans="1:58" ht="36.75" customHeight="1">
      <c r="A171" s="380" t="s">
        <v>1387</v>
      </c>
      <c r="B171" s="547" t="s">
        <v>795</v>
      </c>
      <c r="C171" s="547"/>
      <c r="D171" s="547"/>
      <c r="E171" s="547" t="s">
        <v>713</v>
      </c>
      <c r="F171" s="547"/>
      <c r="G171" s="547"/>
      <c r="H171" s="146">
        <v>87</v>
      </c>
      <c r="I171" s="329">
        <v>5700</v>
      </c>
      <c r="J171" s="160"/>
      <c r="K171" s="145">
        <f t="shared" si="61"/>
        <v>0.35</v>
      </c>
      <c r="L171" s="340">
        <f t="shared" si="62"/>
        <v>56.55</v>
      </c>
      <c r="M171" s="161"/>
      <c r="N171" s="331">
        <f t="shared" si="63"/>
        <v>0</v>
      </c>
      <c r="O171" s="545">
        <v>6.0000000000000001E-3</v>
      </c>
      <c r="P171" s="545"/>
      <c r="Q171" s="367">
        <v>1.1000000000000001</v>
      </c>
      <c r="S171" s="92"/>
      <c r="T171" s="92"/>
      <c r="U171" s="92"/>
    </row>
    <row r="172" spans="1:58" ht="36.75" customHeight="1">
      <c r="A172" s="380" t="s">
        <v>1388</v>
      </c>
      <c r="B172" s="547" t="s">
        <v>794</v>
      </c>
      <c r="C172" s="547"/>
      <c r="D172" s="547"/>
      <c r="E172" s="547" t="s">
        <v>714</v>
      </c>
      <c r="F172" s="547"/>
      <c r="G172" s="547"/>
      <c r="H172" s="146">
        <v>82</v>
      </c>
      <c r="I172" s="329">
        <v>5400</v>
      </c>
      <c r="J172" s="160"/>
      <c r="K172" s="145">
        <f t="shared" si="61"/>
        <v>0.35</v>
      </c>
      <c r="L172" s="340">
        <f t="shared" si="62"/>
        <v>53.3</v>
      </c>
      <c r="M172" s="161"/>
      <c r="N172" s="331">
        <f>L172*J172</f>
        <v>0</v>
      </c>
      <c r="O172" s="545">
        <v>6.0000000000000001E-3</v>
      </c>
      <c r="P172" s="545"/>
      <c r="Q172" s="367">
        <v>1.1000000000000001</v>
      </c>
      <c r="S172" s="92"/>
      <c r="T172" s="92"/>
      <c r="U172" s="92"/>
    </row>
    <row r="173" spans="1:58" ht="40.5" customHeight="1">
      <c r="A173" s="380" t="s">
        <v>1389</v>
      </c>
      <c r="B173" s="547" t="s">
        <v>30</v>
      </c>
      <c r="C173" s="547"/>
      <c r="D173" s="547"/>
      <c r="E173" s="548" t="s">
        <v>488</v>
      </c>
      <c r="F173" s="548"/>
      <c r="G173" s="548"/>
      <c r="H173" s="146">
        <v>107</v>
      </c>
      <c r="I173" s="329">
        <v>7000</v>
      </c>
      <c r="J173" s="160"/>
      <c r="K173" s="145">
        <f t="shared" si="61"/>
        <v>0.35</v>
      </c>
      <c r="L173" s="340">
        <f t="shared" si="62"/>
        <v>69.550000000000011</v>
      </c>
      <c r="M173" s="161"/>
      <c r="N173" s="331">
        <f t="shared" ref="N173:N182" si="64">J173*L173</f>
        <v>0</v>
      </c>
      <c r="O173" s="545">
        <v>4.0000000000000001E-3</v>
      </c>
      <c r="P173" s="545"/>
      <c r="Q173" s="367">
        <v>0.7</v>
      </c>
      <c r="S173" s="92"/>
      <c r="T173" s="92"/>
      <c r="U173" s="92"/>
    </row>
    <row r="174" spans="1:58" ht="40.5" customHeight="1">
      <c r="A174" s="380" t="s">
        <v>1262</v>
      </c>
      <c r="B174" s="547" t="s">
        <v>30</v>
      </c>
      <c r="C174" s="547"/>
      <c r="D174" s="547"/>
      <c r="E174" s="548"/>
      <c r="F174" s="548"/>
      <c r="G174" s="548"/>
      <c r="H174" s="146">
        <v>147</v>
      </c>
      <c r="I174" s="329">
        <v>9600</v>
      </c>
      <c r="J174" s="160"/>
      <c r="K174" s="145">
        <f t="shared" si="61"/>
        <v>0.35</v>
      </c>
      <c r="L174" s="340">
        <f t="shared" si="62"/>
        <v>95.550000000000011</v>
      </c>
      <c r="M174" s="161"/>
      <c r="N174" s="331">
        <f t="shared" si="64"/>
        <v>0</v>
      </c>
      <c r="O174" s="545">
        <v>3.0000000000000001E-3</v>
      </c>
      <c r="P174" s="545"/>
      <c r="Q174" s="367">
        <v>0.6</v>
      </c>
      <c r="S174" s="92"/>
      <c r="T174" s="92"/>
      <c r="U174" s="92"/>
    </row>
    <row r="175" spans="1:58" ht="48" customHeight="1">
      <c r="A175" s="380" t="s">
        <v>1263</v>
      </c>
      <c r="B175" s="547" t="s">
        <v>15</v>
      </c>
      <c r="C175" s="547"/>
      <c r="D175" s="547"/>
      <c r="E175" s="548" t="s">
        <v>371</v>
      </c>
      <c r="F175" s="549"/>
      <c r="G175" s="549"/>
      <c r="H175" s="146">
        <v>66</v>
      </c>
      <c r="I175" s="329">
        <v>4300</v>
      </c>
      <c r="J175" s="160"/>
      <c r="K175" s="145">
        <f t="shared" si="61"/>
        <v>0.35</v>
      </c>
      <c r="L175" s="340">
        <f t="shared" si="62"/>
        <v>42.900000000000006</v>
      </c>
      <c r="M175" s="161"/>
      <c r="N175" s="331">
        <f t="shared" si="64"/>
        <v>0</v>
      </c>
      <c r="O175" s="545">
        <v>2E-3</v>
      </c>
      <c r="P175" s="545"/>
      <c r="Q175" s="367">
        <v>0.14000000000000001</v>
      </c>
      <c r="S175" s="92"/>
      <c r="T175" s="92"/>
      <c r="U175" s="92"/>
    </row>
    <row r="176" spans="1:58" ht="30.75" customHeight="1">
      <c r="A176" s="380" t="s">
        <v>1264</v>
      </c>
      <c r="B176" s="547" t="s">
        <v>203</v>
      </c>
      <c r="C176" s="547"/>
      <c r="D176" s="547"/>
      <c r="E176" s="548" t="s">
        <v>370</v>
      </c>
      <c r="F176" s="549"/>
      <c r="G176" s="549"/>
      <c r="H176" s="146">
        <v>85</v>
      </c>
      <c r="I176" s="329">
        <v>5600</v>
      </c>
      <c r="J176" s="160"/>
      <c r="K176" s="145">
        <f t="shared" si="61"/>
        <v>0.35</v>
      </c>
      <c r="L176" s="340">
        <f t="shared" si="62"/>
        <v>55.25</v>
      </c>
      <c r="M176" s="161"/>
      <c r="N176" s="331">
        <f t="shared" si="64"/>
        <v>0</v>
      </c>
      <c r="O176" s="546">
        <v>2E-3</v>
      </c>
      <c r="P176" s="546"/>
      <c r="Q176" s="367">
        <v>0.23</v>
      </c>
      <c r="S176" s="92"/>
      <c r="T176" s="92"/>
      <c r="U176" s="92"/>
    </row>
    <row r="177" spans="1:52" ht="30.75" customHeight="1">
      <c r="A177" s="380" t="s">
        <v>1147</v>
      </c>
      <c r="B177" s="547" t="s">
        <v>378</v>
      </c>
      <c r="C177" s="547"/>
      <c r="D177" s="547"/>
      <c r="E177" s="548" t="s">
        <v>452</v>
      </c>
      <c r="F177" s="548"/>
      <c r="G177" s="548"/>
      <c r="H177" s="354">
        <v>549</v>
      </c>
      <c r="I177" s="329">
        <v>35700</v>
      </c>
      <c r="J177" s="160"/>
      <c r="K177" s="145">
        <f t="shared" si="61"/>
        <v>0.35</v>
      </c>
      <c r="L177" s="340">
        <f t="shared" si="62"/>
        <v>356.85</v>
      </c>
      <c r="M177" s="161"/>
      <c r="N177" s="331">
        <f>J177*L177</f>
        <v>0</v>
      </c>
      <c r="O177" s="545">
        <v>8.9999999999999993E-3</v>
      </c>
      <c r="P177" s="545"/>
      <c r="Q177" s="381">
        <v>0.91</v>
      </c>
      <c r="S177" s="92"/>
      <c r="T177" s="92"/>
      <c r="U177" s="92"/>
    </row>
    <row r="178" spans="1:52" ht="30" customHeight="1">
      <c r="A178" s="380" t="s">
        <v>1390</v>
      </c>
      <c r="B178" s="547" t="s">
        <v>384</v>
      </c>
      <c r="C178" s="547"/>
      <c r="D178" s="547"/>
      <c r="E178" s="548" t="s">
        <v>372</v>
      </c>
      <c r="F178" s="548"/>
      <c r="G178" s="548"/>
      <c r="H178" s="146">
        <v>101</v>
      </c>
      <c r="I178" s="329">
        <v>6600</v>
      </c>
      <c r="J178" s="160"/>
      <c r="K178" s="145">
        <f t="shared" si="61"/>
        <v>0.35</v>
      </c>
      <c r="L178" s="340">
        <f t="shared" si="62"/>
        <v>65.650000000000006</v>
      </c>
      <c r="M178" s="161"/>
      <c r="N178" s="331">
        <f t="shared" si="64"/>
        <v>0</v>
      </c>
      <c r="O178" s="546">
        <v>0.01</v>
      </c>
      <c r="P178" s="546"/>
      <c r="Q178" s="367">
        <v>1</v>
      </c>
      <c r="S178" s="92"/>
      <c r="T178" s="92"/>
      <c r="U178" s="92"/>
    </row>
    <row r="179" spans="1:52" ht="30" customHeight="1">
      <c r="A179" s="380" t="s">
        <v>1391</v>
      </c>
      <c r="B179" s="547" t="s">
        <v>390</v>
      </c>
      <c r="C179" s="547"/>
      <c r="D179" s="547"/>
      <c r="E179" s="547" t="s">
        <v>498</v>
      </c>
      <c r="F179" s="547"/>
      <c r="G179" s="547"/>
      <c r="H179" s="146">
        <v>112</v>
      </c>
      <c r="I179" s="329">
        <v>7300</v>
      </c>
      <c r="J179" s="160"/>
      <c r="K179" s="145">
        <f t="shared" si="61"/>
        <v>0.35</v>
      </c>
      <c r="L179" s="340">
        <f t="shared" si="62"/>
        <v>72.800000000000011</v>
      </c>
      <c r="M179" s="161"/>
      <c r="N179" s="331">
        <f t="shared" si="64"/>
        <v>0</v>
      </c>
      <c r="O179" s="546">
        <v>1.01</v>
      </c>
      <c r="P179" s="546"/>
      <c r="Q179" s="367">
        <v>1</v>
      </c>
      <c r="S179" s="92"/>
      <c r="T179" s="92"/>
      <c r="U179" s="92"/>
    </row>
    <row r="180" spans="1:52" ht="30" customHeight="1">
      <c r="A180" s="380" t="s">
        <v>1392</v>
      </c>
      <c r="B180" s="547" t="s">
        <v>379</v>
      </c>
      <c r="C180" s="547"/>
      <c r="D180" s="547"/>
      <c r="E180" s="548" t="s">
        <v>385</v>
      </c>
      <c r="F180" s="549"/>
      <c r="G180" s="549"/>
      <c r="H180" s="146">
        <v>79</v>
      </c>
      <c r="I180" s="329">
        <v>5200</v>
      </c>
      <c r="J180" s="160"/>
      <c r="K180" s="145">
        <f t="shared" si="61"/>
        <v>0.35</v>
      </c>
      <c r="L180" s="340">
        <f t="shared" si="62"/>
        <v>51.35</v>
      </c>
      <c r="M180" s="161"/>
      <c r="N180" s="331">
        <f t="shared" si="64"/>
        <v>0</v>
      </c>
      <c r="O180" s="546">
        <v>1.0999999999999999E-2</v>
      </c>
      <c r="P180" s="546"/>
      <c r="Q180" s="367">
        <v>2</v>
      </c>
      <c r="S180" s="92"/>
      <c r="T180" s="92"/>
      <c r="U180" s="92"/>
    </row>
    <row r="181" spans="1:52" ht="30" customHeight="1">
      <c r="A181" s="380" t="s">
        <v>1393</v>
      </c>
      <c r="B181" s="547" t="s">
        <v>386</v>
      </c>
      <c r="C181" s="547"/>
      <c r="D181" s="547"/>
      <c r="E181" s="548" t="s">
        <v>387</v>
      </c>
      <c r="F181" s="549"/>
      <c r="G181" s="549"/>
      <c r="H181" s="146">
        <v>96</v>
      </c>
      <c r="I181" s="329">
        <v>6300</v>
      </c>
      <c r="J181" s="160"/>
      <c r="K181" s="145">
        <f t="shared" si="61"/>
        <v>0.35</v>
      </c>
      <c r="L181" s="340">
        <f t="shared" si="62"/>
        <v>62.400000000000006</v>
      </c>
      <c r="M181" s="161"/>
      <c r="N181" s="331">
        <f t="shared" si="64"/>
        <v>0</v>
      </c>
      <c r="O181" s="546">
        <v>1.9E-2</v>
      </c>
      <c r="P181" s="546"/>
      <c r="Q181" s="367">
        <v>2</v>
      </c>
      <c r="S181" s="92"/>
      <c r="T181" s="92"/>
      <c r="U181" s="92"/>
    </row>
    <row r="182" spans="1:52" s="59" customFormat="1" ht="30" customHeight="1">
      <c r="A182" s="380" t="s">
        <v>1394</v>
      </c>
      <c r="B182" s="547" t="s">
        <v>389</v>
      </c>
      <c r="C182" s="547"/>
      <c r="D182" s="547"/>
      <c r="E182" s="548" t="s">
        <v>388</v>
      </c>
      <c r="F182" s="549"/>
      <c r="G182" s="549"/>
      <c r="H182" s="146">
        <v>303</v>
      </c>
      <c r="I182" s="329">
        <v>19700</v>
      </c>
      <c r="J182" s="160"/>
      <c r="K182" s="145">
        <f t="shared" si="61"/>
        <v>0.35</v>
      </c>
      <c r="L182" s="340">
        <f t="shared" si="62"/>
        <v>196.95</v>
      </c>
      <c r="M182" s="161"/>
      <c r="N182" s="331">
        <f t="shared" si="64"/>
        <v>0</v>
      </c>
      <c r="O182" s="546">
        <v>2.7E-2</v>
      </c>
      <c r="P182" s="546"/>
      <c r="Q182" s="367">
        <v>1</v>
      </c>
      <c r="R182" s="72"/>
      <c r="S182" s="92"/>
      <c r="T182" s="92"/>
      <c r="U182" s="9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</row>
    <row r="183" spans="1:52" s="74" customFormat="1" ht="15" customHeight="1">
      <c r="A183" s="410" t="s">
        <v>535</v>
      </c>
      <c r="B183" s="113"/>
      <c r="C183" s="113"/>
      <c r="D183" s="113"/>
      <c r="E183" s="113"/>
      <c r="F183" s="83"/>
      <c r="G183" s="83"/>
      <c r="H183" s="163"/>
      <c r="I183" s="163"/>
      <c r="J183" s="164"/>
      <c r="K183" s="165"/>
      <c r="L183" s="166"/>
      <c r="M183" s="80"/>
      <c r="N183" s="167"/>
      <c r="O183" s="168"/>
      <c r="P183" s="168"/>
      <c r="Q183" s="405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</row>
    <row r="184" spans="1:52">
      <c r="A184" s="695" t="str">
        <f>'Бытовая серия'!A186:Q186</f>
        <v>www.general-aircond.ru</v>
      </c>
      <c r="B184" s="696"/>
      <c r="C184" s="696"/>
      <c r="D184" s="696"/>
      <c r="E184" s="696"/>
      <c r="F184" s="696"/>
      <c r="G184" s="696"/>
      <c r="H184" s="696"/>
      <c r="I184" s="696"/>
      <c r="J184" s="696"/>
      <c r="K184" s="696"/>
      <c r="L184" s="696"/>
      <c r="M184" s="696"/>
      <c r="N184" s="696"/>
      <c r="O184" s="696"/>
      <c r="P184" s="696"/>
      <c r="Q184" s="697"/>
    </row>
    <row r="185" spans="1:52">
      <c r="A185" s="698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M185" s="699"/>
      <c r="N185" s="699"/>
      <c r="O185" s="699"/>
      <c r="P185" s="699"/>
      <c r="Q185" s="700"/>
    </row>
    <row r="186" spans="1:52">
      <c r="A186" s="701" t="str">
        <f>'Бытовая серия'!A188:Q188</f>
        <v>e-mail: Dealer@profcond.com</v>
      </c>
      <c r="B186" s="702"/>
      <c r="C186" s="702"/>
      <c r="D186" s="702"/>
      <c r="E186" s="702"/>
      <c r="F186" s="702"/>
      <c r="G186" s="702"/>
      <c r="H186" s="702"/>
      <c r="I186" s="702"/>
      <c r="J186" s="702"/>
      <c r="K186" s="702"/>
      <c r="L186" s="702"/>
      <c r="M186" s="702"/>
      <c r="N186" s="702"/>
      <c r="O186" s="702"/>
      <c r="P186" s="702"/>
      <c r="Q186" s="703"/>
    </row>
    <row r="187" spans="1:52">
      <c r="A187" s="690" t="str">
        <f>'Бытовая серия'!A189:Q189</f>
        <v>компания "АЯК-Москва"</v>
      </c>
      <c r="B187" s="650"/>
      <c r="C187" s="650"/>
      <c r="D187" s="650"/>
      <c r="E187" s="650"/>
      <c r="F187" s="650"/>
      <c r="G187" s="650"/>
      <c r="H187" s="650"/>
      <c r="I187" s="650"/>
      <c r="J187" s="650"/>
      <c r="K187" s="650"/>
      <c r="L187" s="650"/>
      <c r="M187" s="650"/>
      <c r="N187" s="650"/>
      <c r="O187" s="650"/>
      <c r="P187" s="650"/>
      <c r="Q187" s="691"/>
    </row>
    <row r="188" spans="1:52">
      <c r="A188" s="690" t="str">
        <f>'Бытовая серия'!A190:Q190</f>
        <v>111020, г. Москва, ул. 2-я Синичкина, д. 9А, Бизнес-центр Синица Плаза</v>
      </c>
      <c r="B188" s="650"/>
      <c r="C188" s="650"/>
      <c r="D188" s="650"/>
      <c r="E188" s="650"/>
      <c r="F188" s="650"/>
      <c r="G188" s="650"/>
      <c r="H188" s="650"/>
      <c r="I188" s="650"/>
      <c r="J188" s="650"/>
      <c r="K188" s="650"/>
      <c r="L188" s="650"/>
      <c r="M188" s="650"/>
      <c r="N188" s="650"/>
      <c r="O188" s="650"/>
      <c r="P188" s="650"/>
      <c r="Q188" s="691"/>
    </row>
    <row r="189" spans="1:52" ht="13" thickBot="1">
      <c r="A189" s="692" t="str">
        <f>'Бытовая серия'!A191:Q191</f>
        <v>Тел./факс: 8-800-23456-05</v>
      </c>
      <c r="B189" s="693"/>
      <c r="C189" s="693"/>
      <c r="D189" s="693"/>
      <c r="E189" s="693"/>
      <c r="F189" s="693"/>
      <c r="G189" s="693"/>
      <c r="H189" s="693"/>
      <c r="I189" s="693"/>
      <c r="J189" s="693"/>
      <c r="K189" s="693"/>
      <c r="L189" s="693"/>
      <c r="M189" s="693"/>
      <c r="N189" s="693"/>
      <c r="O189" s="693"/>
      <c r="P189" s="693"/>
      <c r="Q189" s="694"/>
    </row>
    <row r="190" spans="1:52" s="57" customFormat="1">
      <c r="G190" s="75"/>
    </row>
    <row r="191" spans="1:52" s="57" customFormat="1">
      <c r="G191" s="75"/>
    </row>
    <row r="192" spans="1:52" s="57" customFormat="1">
      <c r="G192" s="75"/>
    </row>
    <row r="193" spans="7:7" s="57" customFormat="1">
      <c r="G193" s="75"/>
    </row>
    <row r="194" spans="7:7" s="57" customFormat="1">
      <c r="G194" s="75"/>
    </row>
    <row r="195" spans="7:7" s="57" customFormat="1">
      <c r="G195" s="75"/>
    </row>
    <row r="196" spans="7:7" s="57" customFormat="1">
      <c r="G196" s="75"/>
    </row>
    <row r="197" spans="7:7" s="57" customFormat="1">
      <c r="G197" s="75"/>
    </row>
    <row r="198" spans="7:7" s="57" customFormat="1">
      <c r="G198" s="75"/>
    </row>
    <row r="199" spans="7:7" s="57" customFormat="1">
      <c r="G199" s="75"/>
    </row>
    <row r="200" spans="7:7" s="57" customFormat="1">
      <c r="G200" s="75"/>
    </row>
    <row r="201" spans="7:7" s="57" customFormat="1">
      <c r="G201" s="75"/>
    </row>
    <row r="202" spans="7:7" s="57" customFormat="1">
      <c r="G202" s="75"/>
    </row>
    <row r="203" spans="7:7" s="57" customFormat="1">
      <c r="G203" s="75"/>
    </row>
    <row r="204" spans="7:7" s="57" customFormat="1">
      <c r="G204" s="75"/>
    </row>
    <row r="205" spans="7:7" s="57" customFormat="1">
      <c r="G205" s="75"/>
    </row>
    <row r="206" spans="7:7" s="57" customFormat="1">
      <c r="G206" s="75"/>
    </row>
    <row r="207" spans="7:7" s="57" customFormat="1">
      <c r="G207" s="75"/>
    </row>
    <row r="208" spans="7:7" s="57" customFormat="1">
      <c r="G208" s="75"/>
    </row>
    <row r="209" spans="7:7" s="57" customFormat="1">
      <c r="G209" s="75"/>
    </row>
    <row r="210" spans="7:7" s="57" customFormat="1">
      <c r="G210" s="75"/>
    </row>
    <row r="211" spans="7:7" s="57" customFormat="1">
      <c r="G211" s="75"/>
    </row>
    <row r="212" spans="7:7" s="57" customFormat="1">
      <c r="G212" s="75"/>
    </row>
    <row r="213" spans="7:7" s="57" customFormat="1">
      <c r="G213" s="75"/>
    </row>
    <row r="214" spans="7:7" s="57" customFormat="1">
      <c r="G214" s="75"/>
    </row>
    <row r="215" spans="7:7" s="57" customFormat="1">
      <c r="G215" s="75"/>
    </row>
    <row r="216" spans="7:7" s="57" customFormat="1">
      <c r="G216" s="75"/>
    </row>
    <row r="217" spans="7:7" s="57" customFormat="1">
      <c r="G217" s="75"/>
    </row>
    <row r="218" spans="7:7" s="57" customFormat="1">
      <c r="G218" s="75"/>
    </row>
    <row r="219" spans="7:7" s="57" customFormat="1">
      <c r="G219" s="75"/>
    </row>
    <row r="220" spans="7:7" s="57" customFormat="1">
      <c r="G220" s="75"/>
    </row>
    <row r="221" spans="7:7" s="57" customFormat="1">
      <c r="G221" s="75"/>
    </row>
    <row r="222" spans="7:7" s="57" customFormat="1">
      <c r="G222" s="75"/>
    </row>
    <row r="223" spans="7:7" s="57" customFormat="1">
      <c r="G223" s="75"/>
    </row>
    <row r="224" spans="7:7" s="57" customFormat="1">
      <c r="G224" s="75"/>
    </row>
    <row r="225" spans="7:7" s="57" customFormat="1">
      <c r="G225" s="75"/>
    </row>
    <row r="226" spans="7:7" s="57" customFormat="1">
      <c r="G226" s="75"/>
    </row>
    <row r="227" spans="7:7" s="57" customFormat="1">
      <c r="G227" s="75"/>
    </row>
    <row r="228" spans="7:7" s="57" customFormat="1">
      <c r="G228" s="75"/>
    </row>
    <row r="229" spans="7:7" s="57" customFormat="1">
      <c r="G229" s="75"/>
    </row>
    <row r="230" spans="7:7" s="57" customFormat="1">
      <c r="G230" s="75"/>
    </row>
    <row r="231" spans="7:7" s="57" customFormat="1">
      <c r="G231" s="75"/>
    </row>
    <row r="232" spans="7:7" s="57" customFormat="1">
      <c r="G232" s="75"/>
    </row>
    <row r="233" spans="7:7" s="57" customFormat="1">
      <c r="G233" s="75"/>
    </row>
    <row r="234" spans="7:7" s="57" customFormat="1">
      <c r="G234" s="75"/>
    </row>
    <row r="235" spans="7:7" s="57" customFormat="1">
      <c r="G235" s="75"/>
    </row>
    <row r="236" spans="7:7" s="57" customFormat="1">
      <c r="G236" s="75"/>
    </row>
    <row r="237" spans="7:7" s="57" customFormat="1">
      <c r="G237" s="75"/>
    </row>
    <row r="238" spans="7:7" s="57" customFormat="1">
      <c r="G238" s="75"/>
    </row>
    <row r="239" spans="7:7" s="57" customFormat="1">
      <c r="G239" s="75"/>
    </row>
    <row r="240" spans="7:7" s="57" customFormat="1">
      <c r="G240" s="75"/>
    </row>
    <row r="241" spans="7:7" s="57" customFormat="1">
      <c r="G241" s="75"/>
    </row>
    <row r="242" spans="7:7" s="57" customFormat="1">
      <c r="G242" s="75"/>
    </row>
    <row r="243" spans="7:7" s="57" customFormat="1">
      <c r="G243" s="75"/>
    </row>
    <row r="244" spans="7:7" s="57" customFormat="1">
      <c r="G244" s="75"/>
    </row>
    <row r="245" spans="7:7" s="57" customFormat="1">
      <c r="G245" s="75"/>
    </row>
    <row r="246" spans="7:7" s="57" customFormat="1">
      <c r="G246" s="75"/>
    </row>
    <row r="247" spans="7:7" s="57" customFormat="1">
      <c r="G247" s="75"/>
    </row>
    <row r="248" spans="7:7" s="57" customFormat="1">
      <c r="G248" s="75"/>
    </row>
    <row r="249" spans="7:7" s="57" customFormat="1">
      <c r="G249" s="75"/>
    </row>
    <row r="250" spans="7:7" s="57" customFormat="1">
      <c r="G250" s="75"/>
    </row>
    <row r="251" spans="7:7" s="57" customFormat="1">
      <c r="G251" s="75"/>
    </row>
    <row r="252" spans="7:7" s="57" customFormat="1">
      <c r="G252" s="75"/>
    </row>
    <row r="253" spans="7:7" s="57" customFormat="1">
      <c r="G253" s="75"/>
    </row>
    <row r="254" spans="7:7" s="57" customFormat="1">
      <c r="G254" s="75"/>
    </row>
    <row r="255" spans="7:7" s="57" customFormat="1">
      <c r="G255" s="75"/>
    </row>
    <row r="256" spans="7:7" s="57" customFormat="1">
      <c r="G256" s="75"/>
    </row>
    <row r="257" spans="7:7" s="57" customFormat="1">
      <c r="G257" s="75"/>
    </row>
    <row r="258" spans="7:7" s="57" customFormat="1">
      <c r="G258" s="75"/>
    </row>
    <row r="259" spans="7:7" s="57" customFormat="1">
      <c r="G259" s="75"/>
    </row>
    <row r="260" spans="7:7" s="57" customFormat="1">
      <c r="G260" s="75"/>
    </row>
    <row r="261" spans="7:7" s="57" customFormat="1">
      <c r="G261" s="75"/>
    </row>
    <row r="262" spans="7:7" s="57" customFormat="1">
      <c r="G262" s="75"/>
    </row>
    <row r="263" spans="7:7" s="57" customFormat="1">
      <c r="G263" s="75"/>
    </row>
    <row r="264" spans="7:7" s="57" customFormat="1">
      <c r="G264" s="75"/>
    </row>
    <row r="265" spans="7:7" s="57" customFormat="1">
      <c r="G265" s="75"/>
    </row>
    <row r="266" spans="7:7" s="57" customFormat="1">
      <c r="G266" s="75"/>
    </row>
    <row r="267" spans="7:7" s="57" customFormat="1">
      <c r="G267" s="75"/>
    </row>
    <row r="268" spans="7:7" s="57" customFormat="1">
      <c r="G268" s="75"/>
    </row>
    <row r="269" spans="7:7" s="57" customFormat="1">
      <c r="G269" s="75"/>
    </row>
    <row r="270" spans="7:7" s="57" customFormat="1">
      <c r="G270" s="75"/>
    </row>
    <row r="271" spans="7:7" s="57" customFormat="1">
      <c r="G271" s="75"/>
    </row>
    <row r="272" spans="7:7" s="57" customFormat="1">
      <c r="G272" s="75"/>
    </row>
    <row r="273" spans="7:7" s="57" customFormat="1">
      <c r="G273" s="75"/>
    </row>
    <row r="274" spans="7:7" s="57" customFormat="1">
      <c r="G274" s="75"/>
    </row>
    <row r="275" spans="7:7" s="57" customFormat="1">
      <c r="G275" s="75"/>
    </row>
    <row r="276" spans="7:7" s="57" customFormat="1">
      <c r="G276" s="75"/>
    </row>
    <row r="277" spans="7:7" s="57" customFormat="1">
      <c r="G277" s="75"/>
    </row>
    <row r="278" spans="7:7" s="57" customFormat="1">
      <c r="G278" s="75"/>
    </row>
    <row r="279" spans="7:7" s="57" customFormat="1">
      <c r="G279" s="75"/>
    </row>
    <row r="280" spans="7:7" s="57" customFormat="1">
      <c r="G280" s="75"/>
    </row>
    <row r="281" spans="7:7" s="57" customFormat="1">
      <c r="G281" s="75"/>
    </row>
    <row r="282" spans="7:7" s="57" customFormat="1">
      <c r="G282" s="75"/>
    </row>
    <row r="283" spans="7:7" s="57" customFormat="1">
      <c r="G283" s="75"/>
    </row>
    <row r="284" spans="7:7" s="57" customFormat="1">
      <c r="G284" s="75"/>
    </row>
    <row r="285" spans="7:7" s="57" customFormat="1">
      <c r="G285" s="75"/>
    </row>
    <row r="286" spans="7:7" s="57" customFormat="1">
      <c r="G286" s="75"/>
    </row>
    <row r="287" spans="7:7" s="57" customFormat="1">
      <c r="G287" s="75"/>
    </row>
    <row r="288" spans="7:7" s="57" customFormat="1">
      <c r="G288" s="75"/>
    </row>
    <row r="289" spans="7:7" s="57" customFormat="1">
      <c r="G289" s="75"/>
    </row>
    <row r="290" spans="7:7" s="57" customFormat="1">
      <c r="G290" s="75"/>
    </row>
    <row r="291" spans="7:7" s="57" customFormat="1">
      <c r="G291" s="75"/>
    </row>
    <row r="292" spans="7:7" s="57" customFormat="1">
      <c r="G292" s="75"/>
    </row>
    <row r="293" spans="7:7" s="57" customFormat="1">
      <c r="G293" s="75"/>
    </row>
    <row r="294" spans="7:7" s="57" customFormat="1">
      <c r="G294" s="75"/>
    </row>
    <row r="295" spans="7:7" s="57" customFormat="1">
      <c r="G295" s="75"/>
    </row>
    <row r="296" spans="7:7" s="57" customFormat="1">
      <c r="G296" s="75"/>
    </row>
    <row r="297" spans="7:7" s="57" customFormat="1">
      <c r="G297" s="75"/>
    </row>
    <row r="298" spans="7:7" s="57" customFormat="1">
      <c r="G298" s="75"/>
    </row>
    <row r="299" spans="7:7" s="57" customFormat="1">
      <c r="G299" s="75"/>
    </row>
    <row r="300" spans="7:7" s="57" customFormat="1">
      <c r="G300" s="75"/>
    </row>
    <row r="301" spans="7:7" s="57" customFormat="1">
      <c r="G301" s="75"/>
    </row>
    <row r="302" spans="7:7" s="57" customFormat="1">
      <c r="G302" s="75"/>
    </row>
    <row r="303" spans="7:7" s="57" customFormat="1">
      <c r="G303" s="75"/>
    </row>
    <row r="304" spans="7:7" s="57" customFormat="1">
      <c r="G304" s="75"/>
    </row>
    <row r="305" spans="7:7" s="57" customFormat="1">
      <c r="G305" s="75"/>
    </row>
    <row r="306" spans="7:7" s="57" customFormat="1">
      <c r="G306" s="75"/>
    </row>
    <row r="307" spans="7:7" s="57" customFormat="1">
      <c r="G307" s="75"/>
    </row>
    <row r="308" spans="7:7" s="57" customFormat="1">
      <c r="G308" s="75"/>
    </row>
    <row r="309" spans="7:7" s="57" customFormat="1">
      <c r="G309" s="75"/>
    </row>
    <row r="310" spans="7:7" s="57" customFormat="1">
      <c r="G310" s="75"/>
    </row>
    <row r="311" spans="7:7" s="57" customFormat="1">
      <c r="G311" s="75"/>
    </row>
    <row r="312" spans="7:7" s="57" customFormat="1">
      <c r="G312" s="75"/>
    </row>
    <row r="313" spans="7:7" s="57" customFormat="1">
      <c r="G313" s="75"/>
    </row>
    <row r="314" spans="7:7" s="57" customFormat="1">
      <c r="G314" s="75"/>
    </row>
    <row r="315" spans="7:7" s="57" customFormat="1">
      <c r="G315" s="75"/>
    </row>
    <row r="316" spans="7:7" s="57" customFormat="1">
      <c r="G316" s="75"/>
    </row>
    <row r="317" spans="7:7" s="57" customFormat="1">
      <c r="G317" s="75"/>
    </row>
    <row r="318" spans="7:7" s="57" customFormat="1">
      <c r="G318" s="75"/>
    </row>
    <row r="319" spans="7:7" s="57" customFormat="1">
      <c r="G319" s="75"/>
    </row>
    <row r="320" spans="7:7" s="57" customFormat="1">
      <c r="G320" s="75"/>
    </row>
    <row r="321" spans="7:7" s="57" customFormat="1">
      <c r="G321" s="75"/>
    </row>
    <row r="322" spans="7:7" s="57" customFormat="1">
      <c r="G322" s="75"/>
    </row>
    <row r="323" spans="7:7" s="57" customFormat="1">
      <c r="G323" s="75"/>
    </row>
    <row r="324" spans="7:7" s="57" customFormat="1">
      <c r="G324" s="75"/>
    </row>
    <row r="325" spans="7:7" s="57" customFormat="1">
      <c r="G325" s="75"/>
    </row>
    <row r="326" spans="7:7" s="57" customFormat="1">
      <c r="G326" s="75"/>
    </row>
    <row r="327" spans="7:7" s="57" customFormat="1">
      <c r="G327" s="75"/>
    </row>
    <row r="328" spans="7:7" s="57" customFormat="1">
      <c r="G328" s="75"/>
    </row>
    <row r="329" spans="7:7" s="57" customFormat="1">
      <c r="G329" s="75"/>
    </row>
    <row r="330" spans="7:7" s="57" customFormat="1">
      <c r="G330" s="75"/>
    </row>
    <row r="331" spans="7:7" s="57" customFormat="1">
      <c r="G331" s="75"/>
    </row>
    <row r="332" spans="7:7" s="57" customFormat="1">
      <c r="G332" s="75"/>
    </row>
    <row r="333" spans="7:7" s="57" customFormat="1">
      <c r="G333" s="75"/>
    </row>
    <row r="334" spans="7:7" s="57" customFormat="1">
      <c r="G334" s="75"/>
    </row>
    <row r="335" spans="7:7" s="57" customFormat="1">
      <c r="G335" s="75"/>
    </row>
    <row r="336" spans="7:7" s="57" customFormat="1">
      <c r="G336" s="75"/>
    </row>
    <row r="337" spans="7:7" s="57" customFormat="1">
      <c r="G337" s="75"/>
    </row>
    <row r="338" spans="7:7" s="57" customFormat="1">
      <c r="G338" s="75"/>
    </row>
    <row r="339" spans="7:7" s="57" customFormat="1">
      <c r="G339" s="75"/>
    </row>
    <row r="340" spans="7:7" s="57" customFormat="1">
      <c r="G340" s="75"/>
    </row>
    <row r="341" spans="7:7" s="57" customFormat="1">
      <c r="G341" s="75"/>
    </row>
    <row r="342" spans="7:7" s="57" customFormat="1">
      <c r="G342" s="75"/>
    </row>
    <row r="343" spans="7:7" s="57" customFormat="1">
      <c r="G343" s="75"/>
    </row>
    <row r="344" spans="7:7" s="57" customFormat="1">
      <c r="G344" s="75"/>
    </row>
    <row r="345" spans="7:7" s="57" customFormat="1">
      <c r="G345" s="75"/>
    </row>
    <row r="346" spans="7:7" s="57" customFormat="1">
      <c r="G346" s="75"/>
    </row>
    <row r="347" spans="7:7" s="57" customFormat="1">
      <c r="G347" s="75"/>
    </row>
    <row r="348" spans="7:7" s="57" customFormat="1">
      <c r="G348" s="75"/>
    </row>
    <row r="349" spans="7:7" s="57" customFormat="1">
      <c r="G349" s="75"/>
    </row>
    <row r="350" spans="7:7" s="57" customFormat="1">
      <c r="G350" s="75"/>
    </row>
    <row r="351" spans="7:7" s="57" customFormat="1">
      <c r="G351" s="75"/>
    </row>
    <row r="352" spans="7:7" s="57" customFormat="1">
      <c r="G352" s="75"/>
    </row>
    <row r="353" spans="7:7" s="57" customFormat="1">
      <c r="G353" s="75"/>
    </row>
    <row r="354" spans="7:7" s="57" customFormat="1">
      <c r="G354" s="75"/>
    </row>
    <row r="355" spans="7:7" s="57" customFormat="1">
      <c r="G355" s="75"/>
    </row>
    <row r="356" spans="7:7" s="57" customFormat="1">
      <c r="G356" s="75"/>
    </row>
    <row r="357" spans="7:7" s="57" customFormat="1">
      <c r="G357" s="75"/>
    </row>
    <row r="358" spans="7:7" s="57" customFormat="1">
      <c r="G358" s="75"/>
    </row>
    <row r="359" spans="7:7" s="57" customFormat="1">
      <c r="G359" s="75"/>
    </row>
    <row r="360" spans="7:7" s="57" customFormat="1">
      <c r="G360" s="75"/>
    </row>
    <row r="361" spans="7:7" s="57" customFormat="1">
      <c r="G361" s="75"/>
    </row>
    <row r="362" spans="7:7" s="57" customFormat="1">
      <c r="G362" s="75"/>
    </row>
    <row r="363" spans="7:7" s="57" customFormat="1">
      <c r="G363" s="75"/>
    </row>
    <row r="364" spans="7:7" s="57" customFormat="1">
      <c r="G364" s="75"/>
    </row>
    <row r="365" spans="7:7" s="57" customFormat="1">
      <c r="G365" s="75"/>
    </row>
    <row r="366" spans="7:7" s="57" customFormat="1">
      <c r="G366" s="75"/>
    </row>
    <row r="367" spans="7:7" s="57" customFormat="1">
      <c r="G367" s="75"/>
    </row>
    <row r="368" spans="7:7" s="57" customFormat="1">
      <c r="G368" s="75"/>
    </row>
    <row r="369" spans="7:7" s="57" customFormat="1">
      <c r="G369" s="75"/>
    </row>
    <row r="370" spans="7:7" s="57" customFormat="1">
      <c r="G370" s="75"/>
    </row>
    <row r="371" spans="7:7" s="57" customFormat="1">
      <c r="G371" s="75"/>
    </row>
    <row r="372" spans="7:7" s="57" customFormat="1">
      <c r="G372" s="75"/>
    </row>
    <row r="373" spans="7:7" s="57" customFormat="1">
      <c r="G373" s="75"/>
    </row>
    <row r="374" spans="7:7" s="57" customFormat="1">
      <c r="G374" s="75"/>
    </row>
    <row r="375" spans="7:7" s="57" customFormat="1">
      <c r="G375" s="75"/>
    </row>
    <row r="376" spans="7:7" s="57" customFormat="1">
      <c r="G376" s="75"/>
    </row>
    <row r="377" spans="7:7" s="57" customFormat="1">
      <c r="G377" s="75"/>
    </row>
    <row r="378" spans="7:7" s="57" customFormat="1">
      <c r="G378" s="75"/>
    </row>
    <row r="379" spans="7:7" s="57" customFormat="1">
      <c r="G379" s="75"/>
    </row>
    <row r="380" spans="7:7" s="57" customFormat="1">
      <c r="G380" s="75"/>
    </row>
    <row r="381" spans="7:7" s="57" customFormat="1">
      <c r="G381" s="75"/>
    </row>
    <row r="382" spans="7:7" s="57" customFormat="1">
      <c r="G382" s="75"/>
    </row>
    <row r="383" spans="7:7" s="57" customFormat="1">
      <c r="G383" s="75"/>
    </row>
    <row r="384" spans="7:7" s="57" customFormat="1">
      <c r="G384" s="75"/>
    </row>
    <row r="385" spans="7:7" s="57" customFormat="1">
      <c r="G385" s="75"/>
    </row>
    <row r="386" spans="7:7" s="57" customFormat="1">
      <c r="G386" s="75"/>
    </row>
    <row r="387" spans="7:7" s="57" customFormat="1">
      <c r="G387" s="75"/>
    </row>
    <row r="388" spans="7:7" s="57" customFormat="1">
      <c r="G388" s="75"/>
    </row>
    <row r="389" spans="7:7" s="57" customFormat="1">
      <c r="G389" s="75"/>
    </row>
    <row r="390" spans="7:7" s="57" customFormat="1">
      <c r="G390" s="75"/>
    </row>
    <row r="391" spans="7:7" s="57" customFormat="1">
      <c r="G391" s="75"/>
    </row>
    <row r="392" spans="7:7" s="57" customFormat="1">
      <c r="G392" s="75"/>
    </row>
    <row r="393" spans="7:7" s="57" customFormat="1">
      <c r="G393" s="75"/>
    </row>
    <row r="394" spans="7:7" s="57" customFormat="1">
      <c r="G394" s="75"/>
    </row>
    <row r="395" spans="7:7" s="57" customFormat="1">
      <c r="G395" s="75"/>
    </row>
    <row r="396" spans="7:7" s="57" customFormat="1">
      <c r="G396" s="75"/>
    </row>
    <row r="397" spans="7:7" s="57" customFormat="1">
      <c r="G397" s="75"/>
    </row>
    <row r="398" spans="7:7" s="57" customFormat="1">
      <c r="G398" s="75"/>
    </row>
    <row r="399" spans="7:7" s="57" customFormat="1">
      <c r="G399" s="75"/>
    </row>
    <row r="400" spans="7:7" s="57" customFormat="1">
      <c r="G400" s="75"/>
    </row>
    <row r="401" spans="7:7" s="57" customFormat="1">
      <c r="G401" s="75"/>
    </row>
    <row r="402" spans="7:7" s="57" customFormat="1">
      <c r="G402" s="75"/>
    </row>
    <row r="403" spans="7:7" s="57" customFormat="1">
      <c r="G403" s="75"/>
    </row>
    <row r="404" spans="7:7" s="57" customFormat="1">
      <c r="G404" s="75"/>
    </row>
    <row r="405" spans="7:7" s="57" customFormat="1">
      <c r="G405" s="75"/>
    </row>
    <row r="406" spans="7:7" s="57" customFormat="1">
      <c r="G406" s="75"/>
    </row>
    <row r="407" spans="7:7" s="57" customFormat="1">
      <c r="G407" s="75"/>
    </row>
    <row r="408" spans="7:7" s="57" customFormat="1">
      <c r="G408" s="75"/>
    </row>
    <row r="409" spans="7:7" s="57" customFormat="1">
      <c r="G409" s="75"/>
    </row>
    <row r="410" spans="7:7" s="57" customFormat="1">
      <c r="G410" s="75"/>
    </row>
    <row r="411" spans="7:7" s="57" customFormat="1">
      <c r="G411" s="75"/>
    </row>
    <row r="412" spans="7:7" s="57" customFormat="1">
      <c r="G412" s="75"/>
    </row>
    <row r="413" spans="7:7" s="57" customFormat="1">
      <c r="G413" s="75"/>
    </row>
    <row r="414" spans="7:7" s="57" customFormat="1">
      <c r="G414" s="75"/>
    </row>
    <row r="415" spans="7:7" s="57" customFormat="1">
      <c r="G415" s="75"/>
    </row>
    <row r="416" spans="7:7" s="57" customFormat="1">
      <c r="G416" s="75"/>
    </row>
    <row r="417" spans="7:7" s="57" customFormat="1">
      <c r="G417" s="75"/>
    </row>
    <row r="418" spans="7:7" s="57" customFormat="1">
      <c r="G418" s="75"/>
    </row>
    <row r="419" spans="7:7" s="57" customFormat="1">
      <c r="G419" s="75"/>
    </row>
    <row r="420" spans="7:7" s="57" customFormat="1">
      <c r="G420" s="75"/>
    </row>
    <row r="421" spans="7:7" s="57" customFormat="1">
      <c r="G421" s="75"/>
    </row>
    <row r="422" spans="7:7" s="57" customFormat="1">
      <c r="G422" s="75"/>
    </row>
    <row r="423" spans="7:7" s="57" customFormat="1">
      <c r="G423" s="75"/>
    </row>
    <row r="424" spans="7:7" s="57" customFormat="1">
      <c r="G424" s="75"/>
    </row>
    <row r="425" spans="7:7" s="57" customFormat="1">
      <c r="G425" s="75"/>
    </row>
  </sheetData>
  <customSheetViews>
    <customSheetView guid="{FA833650-9147-48FF-9246-B3943D91CD8D}" scale="75" showPageBreaks="1" printArea="1" hiddenColumns="1" view="pageBreakPreview">
      <pane ySplit="7" topLeftCell="A8" activePane="bottomLeft" state="frozen"/>
      <selection pane="bottomLeft" activeCell="W17" sqref="W17"/>
      <pageMargins left="0.7" right="0.7" top="0.75" bottom="0.75" header="0.3" footer="0.3"/>
      <pageSetup paperSize="9" scale="38" orientation="portrait" r:id="rId1"/>
    </customSheetView>
  </customSheetViews>
  <mergeCells count="616">
    <mergeCell ref="A36:A37"/>
    <mergeCell ref="C36:C37"/>
    <mergeCell ref="D36:D37"/>
    <mergeCell ref="E36:E37"/>
    <mergeCell ref="F36:F37"/>
    <mergeCell ref="G36:G37"/>
    <mergeCell ref="I36:I37"/>
    <mergeCell ref="L36:L37"/>
    <mergeCell ref="A32:A33"/>
    <mergeCell ref="C32:C33"/>
    <mergeCell ref="D32:D33"/>
    <mergeCell ref="E32:E33"/>
    <mergeCell ref="F32:F33"/>
    <mergeCell ref="G32:G33"/>
    <mergeCell ref="I32:I33"/>
    <mergeCell ref="L32:L33"/>
    <mergeCell ref="A34:A35"/>
    <mergeCell ref="C34:C35"/>
    <mergeCell ref="D34:D35"/>
    <mergeCell ref="E34:E35"/>
    <mergeCell ref="F34:F35"/>
    <mergeCell ref="G34:G35"/>
    <mergeCell ref="I34:I35"/>
    <mergeCell ref="L34:L35"/>
    <mergeCell ref="L25:L26"/>
    <mergeCell ref="A28:Q28"/>
    <mergeCell ref="A29:M29"/>
    <mergeCell ref="A30:A31"/>
    <mergeCell ref="C30:C31"/>
    <mergeCell ref="D30:D31"/>
    <mergeCell ref="E30:E31"/>
    <mergeCell ref="F30:F31"/>
    <mergeCell ref="G30:G31"/>
    <mergeCell ref="I30:I31"/>
    <mergeCell ref="L30:L31"/>
    <mergeCell ref="G53:G54"/>
    <mergeCell ref="A21:A22"/>
    <mergeCell ref="C21:C22"/>
    <mergeCell ref="D21:D22"/>
    <mergeCell ref="E21:E22"/>
    <mergeCell ref="F21:F22"/>
    <mergeCell ref="G21:G22"/>
    <mergeCell ref="I21:I22"/>
    <mergeCell ref="L21:L22"/>
    <mergeCell ref="A27:M27"/>
    <mergeCell ref="C23:C24"/>
    <mergeCell ref="D23:D24"/>
    <mergeCell ref="E23:E24"/>
    <mergeCell ref="F23:F24"/>
    <mergeCell ref="G23:G24"/>
    <mergeCell ref="I23:I24"/>
    <mergeCell ref="L23:L24"/>
    <mergeCell ref="A25:A26"/>
    <mergeCell ref="C25:C26"/>
    <mergeCell ref="D25:D26"/>
    <mergeCell ref="E25:E26"/>
    <mergeCell ref="F25:F26"/>
    <mergeCell ref="G25:G26"/>
    <mergeCell ref="I25:I26"/>
    <mergeCell ref="F55:F56"/>
    <mergeCell ref="A84:M84"/>
    <mergeCell ref="A85:Q85"/>
    <mergeCell ref="L138:L139"/>
    <mergeCell ref="L45:L46"/>
    <mergeCell ref="L134:L135"/>
    <mergeCell ref="L93:L94"/>
    <mergeCell ref="F134:F135"/>
    <mergeCell ref="D97:D98"/>
    <mergeCell ref="E97:E98"/>
    <mergeCell ref="F97:F98"/>
    <mergeCell ref="E95:E96"/>
    <mergeCell ref="F95:F96"/>
    <mergeCell ref="G95:G96"/>
    <mergeCell ref="G134:G135"/>
    <mergeCell ref="G91:G92"/>
    <mergeCell ref="D93:D94"/>
    <mergeCell ref="E93:E94"/>
    <mergeCell ref="A133:M133"/>
    <mergeCell ref="A53:A54"/>
    <mergeCell ref="C53:C54"/>
    <mergeCell ref="D53:D54"/>
    <mergeCell ref="E53:E54"/>
    <mergeCell ref="F53:F54"/>
    <mergeCell ref="A134:A135"/>
    <mergeCell ref="D142:D143"/>
    <mergeCell ref="A86:M86"/>
    <mergeCell ref="I144:I145"/>
    <mergeCell ref="I146:I147"/>
    <mergeCell ref="A95:A96"/>
    <mergeCell ref="C95:C96"/>
    <mergeCell ref="A91:A92"/>
    <mergeCell ref="C91:C92"/>
    <mergeCell ref="D91:D92"/>
    <mergeCell ref="A87:A88"/>
    <mergeCell ref="F146:F147"/>
    <mergeCell ref="A97:A98"/>
    <mergeCell ref="G97:G98"/>
    <mergeCell ref="L95:L96"/>
    <mergeCell ref="L97:L98"/>
    <mergeCell ref="C97:C98"/>
    <mergeCell ref="I95:I96"/>
    <mergeCell ref="I97:I98"/>
    <mergeCell ref="C144:C145"/>
    <mergeCell ref="D144:D145"/>
    <mergeCell ref="E144:E145"/>
    <mergeCell ref="F144:F145"/>
    <mergeCell ref="G144:G145"/>
    <mergeCell ref="L144:L145"/>
    <mergeCell ref="B178:D178"/>
    <mergeCell ref="B179:D179"/>
    <mergeCell ref="B174:D174"/>
    <mergeCell ref="B175:D175"/>
    <mergeCell ref="B176:D176"/>
    <mergeCell ref="A157:M157"/>
    <mergeCell ref="B158:D158"/>
    <mergeCell ref="E158:G158"/>
    <mergeCell ref="E164:G164"/>
    <mergeCell ref="E159:G163"/>
    <mergeCell ref="B177:D177"/>
    <mergeCell ref="E177:G177"/>
    <mergeCell ref="B163:D163"/>
    <mergeCell ref="B164:D164"/>
    <mergeCell ref="B165:D165"/>
    <mergeCell ref="B169:D169"/>
    <mergeCell ref="E169:G169"/>
    <mergeCell ref="A148:M148"/>
    <mergeCell ref="A149:A150"/>
    <mergeCell ref="C149:C150"/>
    <mergeCell ref="A146:A147"/>
    <mergeCell ref="C146:C147"/>
    <mergeCell ref="D146:D147"/>
    <mergeCell ref="C134:C135"/>
    <mergeCell ref="E134:E135"/>
    <mergeCell ref="G89:G90"/>
    <mergeCell ref="D95:D96"/>
    <mergeCell ref="D87:D88"/>
    <mergeCell ref="E87:E88"/>
    <mergeCell ref="F87:F88"/>
    <mergeCell ref="G87:G88"/>
    <mergeCell ref="C89:C90"/>
    <mergeCell ref="A99:M99"/>
    <mergeCell ref="A100:Q100"/>
    <mergeCell ref="A101:M101"/>
    <mergeCell ref="A104:A105"/>
    <mergeCell ref="C104:C105"/>
    <mergeCell ref="D104:D105"/>
    <mergeCell ref="E104:E105"/>
    <mergeCell ref="F104:F105"/>
    <mergeCell ref="G104:G105"/>
    <mergeCell ref="I104:I105"/>
    <mergeCell ref="L104:L105"/>
    <mergeCell ref="A106:A107"/>
    <mergeCell ref="C106:C107"/>
    <mergeCell ref="D106:D107"/>
    <mergeCell ref="E106:E107"/>
    <mergeCell ref="L142:L143"/>
    <mergeCell ref="I140:I141"/>
    <mergeCell ref="I142:I143"/>
    <mergeCell ref="A140:A141"/>
    <mergeCell ref="A142:A143"/>
    <mergeCell ref="C142:C143"/>
    <mergeCell ref="C138:C139"/>
    <mergeCell ref="I136:I137"/>
    <mergeCell ref="F142:F143"/>
    <mergeCell ref="D138:D139"/>
    <mergeCell ref="G140:G141"/>
    <mergeCell ref="E136:E137"/>
    <mergeCell ref="A187:Q187"/>
    <mergeCell ref="A188:Q188"/>
    <mergeCell ref="A189:Q189"/>
    <mergeCell ref="E178:G178"/>
    <mergeCell ref="O178:P178"/>
    <mergeCell ref="O182:P182"/>
    <mergeCell ref="E180:G180"/>
    <mergeCell ref="O179:P179"/>
    <mergeCell ref="O161:P161"/>
    <mergeCell ref="A184:Q184"/>
    <mergeCell ref="O180:P180"/>
    <mergeCell ref="E179:G179"/>
    <mergeCell ref="O163:P163"/>
    <mergeCell ref="A185:Q185"/>
    <mergeCell ref="A186:Q186"/>
    <mergeCell ref="B182:D182"/>
    <mergeCell ref="E182:G182"/>
    <mergeCell ref="B181:D181"/>
    <mergeCell ref="E181:G181"/>
    <mergeCell ref="O181:P181"/>
    <mergeCell ref="B180:D180"/>
    <mergeCell ref="B172:D172"/>
    <mergeCell ref="E172:G172"/>
    <mergeCell ref="O164:P164"/>
    <mergeCell ref="E176:G176"/>
    <mergeCell ref="O176:P176"/>
    <mergeCell ref="O177:P177"/>
    <mergeCell ref="O175:P175"/>
    <mergeCell ref="E173:G174"/>
    <mergeCell ref="O173:P173"/>
    <mergeCell ref="O174:P174"/>
    <mergeCell ref="E175:G175"/>
    <mergeCell ref="B161:D161"/>
    <mergeCell ref="B162:D162"/>
    <mergeCell ref="B173:D173"/>
    <mergeCell ref="O169:P169"/>
    <mergeCell ref="B170:D170"/>
    <mergeCell ref="E170:G170"/>
    <mergeCell ref="O170:P170"/>
    <mergeCell ref="B171:D171"/>
    <mergeCell ref="O171:P171"/>
    <mergeCell ref="O172:P172"/>
    <mergeCell ref="E171:G171"/>
    <mergeCell ref="I93:I94"/>
    <mergeCell ref="C12:C13"/>
    <mergeCell ref="D12:D13"/>
    <mergeCell ref="A47:A48"/>
    <mergeCell ref="C14:C15"/>
    <mergeCell ref="F12:F13"/>
    <mergeCell ref="O159:P159"/>
    <mergeCell ref="O160:P160"/>
    <mergeCell ref="O162:P162"/>
    <mergeCell ref="B159:D159"/>
    <mergeCell ref="B160:D160"/>
    <mergeCell ref="E146:E147"/>
    <mergeCell ref="G146:G147"/>
    <mergeCell ref="L146:L147"/>
    <mergeCell ref="A144:A145"/>
    <mergeCell ref="A136:A137"/>
    <mergeCell ref="C136:C137"/>
    <mergeCell ref="L140:L141"/>
    <mergeCell ref="A138:A139"/>
    <mergeCell ref="C140:C141"/>
    <mergeCell ref="D140:D141"/>
    <mergeCell ref="E140:E141"/>
    <mergeCell ref="F140:F141"/>
    <mergeCell ref="G142:G143"/>
    <mergeCell ref="A10:A11"/>
    <mergeCell ref="A14:A15"/>
    <mergeCell ref="L91:L92"/>
    <mergeCell ref="F14:F15"/>
    <mergeCell ref="G14:G15"/>
    <mergeCell ref="C87:C88"/>
    <mergeCell ref="E91:E92"/>
    <mergeCell ref="F91:F92"/>
    <mergeCell ref="A89:A90"/>
    <mergeCell ref="D89:D90"/>
    <mergeCell ref="E89:E90"/>
    <mergeCell ref="F89:F90"/>
    <mergeCell ref="I14:I15"/>
    <mergeCell ref="I87:I88"/>
    <mergeCell ref="I89:I90"/>
    <mergeCell ref="I91:I92"/>
    <mergeCell ref="L53:L54"/>
    <mergeCell ref="I53:I54"/>
    <mergeCell ref="G55:G56"/>
    <mergeCell ref="I55:I56"/>
    <mergeCell ref="A55:A56"/>
    <mergeCell ref="C55:C56"/>
    <mergeCell ref="D55:D56"/>
    <mergeCell ref="E55:E56"/>
    <mergeCell ref="Q5:Q6"/>
    <mergeCell ref="N5:N6"/>
    <mergeCell ref="M5:M6"/>
    <mergeCell ref="L14:L15"/>
    <mergeCell ref="E51:E52"/>
    <mergeCell ref="F51:F52"/>
    <mergeCell ref="G51:G52"/>
    <mergeCell ref="L51:L52"/>
    <mergeCell ref="I51:I52"/>
    <mergeCell ref="A9:M9"/>
    <mergeCell ref="A7:M7"/>
    <mergeCell ref="A8:Q8"/>
    <mergeCell ref="A49:A50"/>
    <mergeCell ref="C49:C50"/>
    <mergeCell ref="D49:D50"/>
    <mergeCell ref="E49:E50"/>
    <mergeCell ref="F49:F50"/>
    <mergeCell ref="C45:C46"/>
    <mergeCell ref="A51:A52"/>
    <mergeCell ref="A45:A46"/>
    <mergeCell ref="G45:G46"/>
    <mergeCell ref="I19:I20"/>
    <mergeCell ref="L19:L20"/>
    <mergeCell ref="A23:A24"/>
    <mergeCell ref="A12:A13"/>
    <mergeCell ref="L12:L13"/>
    <mergeCell ref="C10:C11"/>
    <mergeCell ref="D10:D11"/>
    <mergeCell ref="A43:A44"/>
    <mergeCell ref="O3:P3"/>
    <mergeCell ref="H3:J3"/>
    <mergeCell ref="L3:M3"/>
    <mergeCell ref="P5:P6"/>
    <mergeCell ref="I43:I44"/>
    <mergeCell ref="E12:E13"/>
    <mergeCell ref="L10:L11"/>
    <mergeCell ref="A5:A6"/>
    <mergeCell ref="C5:D5"/>
    <mergeCell ref="A38:M38"/>
    <mergeCell ref="O5:O6"/>
    <mergeCell ref="E10:E11"/>
    <mergeCell ref="H5:H6"/>
    <mergeCell ref="E14:E15"/>
    <mergeCell ref="C43:C44"/>
    <mergeCell ref="J5:J6"/>
    <mergeCell ref="K5:K6"/>
    <mergeCell ref="G10:G11"/>
    <mergeCell ref="F10:F11"/>
    <mergeCell ref="D14:D15"/>
    <mergeCell ref="I10:I11"/>
    <mergeCell ref="I12:I13"/>
    <mergeCell ref="D47:D48"/>
    <mergeCell ref="E47:E48"/>
    <mergeCell ref="F47:F48"/>
    <mergeCell ref="G47:G48"/>
    <mergeCell ref="I45:I46"/>
    <mergeCell ref="I47:I48"/>
    <mergeCell ref="D45:D46"/>
    <mergeCell ref="D43:D44"/>
    <mergeCell ref="E43:E44"/>
    <mergeCell ref="F43:F44"/>
    <mergeCell ref="G43:G44"/>
    <mergeCell ref="G12:G13"/>
    <mergeCell ref="A16:M16"/>
    <mergeCell ref="A17:Q17"/>
    <mergeCell ref="A18:M18"/>
    <mergeCell ref="A19:A20"/>
    <mergeCell ref="C19:C20"/>
    <mergeCell ref="D19:D20"/>
    <mergeCell ref="E19:E20"/>
    <mergeCell ref="F19:F20"/>
    <mergeCell ref="G19:G20"/>
    <mergeCell ref="I134:I135"/>
    <mergeCell ref="I138:I139"/>
    <mergeCell ref="L55:L56"/>
    <mergeCell ref="G93:G94"/>
    <mergeCell ref="F93:F94"/>
    <mergeCell ref="F136:F137"/>
    <mergeCell ref="G136:G137"/>
    <mergeCell ref="D136:D137"/>
    <mergeCell ref="L136:L137"/>
    <mergeCell ref="D134:D135"/>
    <mergeCell ref="E138:E139"/>
    <mergeCell ref="F138:F139"/>
    <mergeCell ref="G138:G139"/>
    <mergeCell ref="A57:M57"/>
    <mergeCell ref="A58:Q58"/>
    <mergeCell ref="A59:M59"/>
    <mergeCell ref="A60:A61"/>
    <mergeCell ref="C60:C61"/>
    <mergeCell ref="D60:D61"/>
    <mergeCell ref="E60:E61"/>
    <mergeCell ref="L89:L90"/>
    <mergeCell ref="A62:A63"/>
    <mergeCell ref="A72:A73"/>
    <mergeCell ref="L72:L73"/>
    <mergeCell ref="L5:L6"/>
    <mergeCell ref="I5:I6"/>
    <mergeCell ref="L87:L88"/>
    <mergeCell ref="E5:F5"/>
    <mergeCell ref="G5:G6"/>
    <mergeCell ref="L43:L44"/>
    <mergeCell ref="G41:G42"/>
    <mergeCell ref="L41:L42"/>
    <mergeCell ref="I41:I42"/>
    <mergeCell ref="A39:Q39"/>
    <mergeCell ref="A40:M40"/>
    <mergeCell ref="A41:A42"/>
    <mergeCell ref="C41:C42"/>
    <mergeCell ref="D41:D42"/>
    <mergeCell ref="E41:E42"/>
    <mergeCell ref="F41:F42"/>
    <mergeCell ref="C51:C52"/>
    <mergeCell ref="D51:D52"/>
    <mergeCell ref="C47:C48"/>
    <mergeCell ref="E45:E46"/>
    <mergeCell ref="F45:F46"/>
    <mergeCell ref="G49:G50"/>
    <mergeCell ref="L49:L50"/>
    <mergeCell ref="L47:L48"/>
    <mergeCell ref="I49:I50"/>
    <mergeCell ref="O165:P165"/>
    <mergeCell ref="B166:D166"/>
    <mergeCell ref="E166:G166"/>
    <mergeCell ref="O166:P166"/>
    <mergeCell ref="B167:D167"/>
    <mergeCell ref="E167:G167"/>
    <mergeCell ref="B168:D168"/>
    <mergeCell ref="E168:G168"/>
    <mergeCell ref="O167:P167"/>
    <mergeCell ref="O168:P168"/>
    <mergeCell ref="E165:G165"/>
    <mergeCell ref="E142:E143"/>
    <mergeCell ref="F60:F61"/>
    <mergeCell ref="G60:G61"/>
    <mergeCell ref="I60:I61"/>
    <mergeCell ref="L60:L61"/>
    <mergeCell ref="C62:C63"/>
    <mergeCell ref="D62:D63"/>
    <mergeCell ref="E62:E63"/>
    <mergeCell ref="F62:F63"/>
    <mergeCell ref="G62:G63"/>
    <mergeCell ref="I62:I63"/>
    <mergeCell ref="L62:L63"/>
    <mergeCell ref="I68:I69"/>
    <mergeCell ref="L68:L69"/>
    <mergeCell ref="A74:A75"/>
    <mergeCell ref="C74:C75"/>
    <mergeCell ref="D74:D75"/>
    <mergeCell ref="A64:A65"/>
    <mergeCell ref="C64:C65"/>
    <mergeCell ref="D64:D65"/>
    <mergeCell ref="E64:E65"/>
    <mergeCell ref="F64:F65"/>
    <mergeCell ref="G64:G65"/>
    <mergeCell ref="I64:I65"/>
    <mergeCell ref="L64:L65"/>
    <mergeCell ref="A66:A67"/>
    <mergeCell ref="C66:C67"/>
    <mergeCell ref="D66:D67"/>
    <mergeCell ref="E66:E67"/>
    <mergeCell ref="F66:F67"/>
    <mergeCell ref="G66:G67"/>
    <mergeCell ref="I66:I67"/>
    <mergeCell ref="L66:L67"/>
    <mergeCell ref="I74:I75"/>
    <mergeCell ref="L74:L75"/>
    <mergeCell ref="A70:A71"/>
    <mergeCell ref="I80:I81"/>
    <mergeCell ref="L80:L81"/>
    <mergeCell ref="A78:A79"/>
    <mergeCell ref="C78:C79"/>
    <mergeCell ref="D78:D79"/>
    <mergeCell ref="E78:E79"/>
    <mergeCell ref="F78:F79"/>
    <mergeCell ref="G78:G79"/>
    <mergeCell ref="I78:I79"/>
    <mergeCell ref="L78:L79"/>
    <mergeCell ref="I70:I71"/>
    <mergeCell ref="L70:L71"/>
    <mergeCell ref="C72:C73"/>
    <mergeCell ref="D72:D73"/>
    <mergeCell ref="E72:E73"/>
    <mergeCell ref="F72:F73"/>
    <mergeCell ref="G72:G73"/>
    <mergeCell ref="I72:I73"/>
    <mergeCell ref="I76:I77"/>
    <mergeCell ref="L76:L77"/>
    <mergeCell ref="A93:A94"/>
    <mergeCell ref="C93:C94"/>
    <mergeCell ref="A102:A103"/>
    <mergeCell ref="C102:C103"/>
    <mergeCell ref="D102:D103"/>
    <mergeCell ref="E102:E103"/>
    <mergeCell ref="F102:F103"/>
    <mergeCell ref="G102:G103"/>
    <mergeCell ref="E74:E75"/>
    <mergeCell ref="F74:F75"/>
    <mergeCell ref="G74:G75"/>
    <mergeCell ref="A80:A81"/>
    <mergeCell ref="C80:C81"/>
    <mergeCell ref="D80:D81"/>
    <mergeCell ref="E80:E81"/>
    <mergeCell ref="F80:F81"/>
    <mergeCell ref="G80:G81"/>
    <mergeCell ref="C68:C69"/>
    <mergeCell ref="D68:D69"/>
    <mergeCell ref="E68:E69"/>
    <mergeCell ref="F68:F69"/>
    <mergeCell ref="G68:G69"/>
    <mergeCell ref="A76:A77"/>
    <mergeCell ref="C76:C77"/>
    <mergeCell ref="D76:D77"/>
    <mergeCell ref="E76:E77"/>
    <mergeCell ref="F76:F77"/>
    <mergeCell ref="G76:G77"/>
    <mergeCell ref="A68:A69"/>
    <mergeCell ref="C70:C71"/>
    <mergeCell ref="D70:D71"/>
    <mergeCell ref="E70:E71"/>
    <mergeCell ref="F70:F71"/>
    <mergeCell ref="G70:G71"/>
    <mergeCell ref="A114:A115"/>
    <mergeCell ref="C114:C115"/>
    <mergeCell ref="D114:D115"/>
    <mergeCell ref="E114:E115"/>
    <mergeCell ref="F114:F115"/>
    <mergeCell ref="G114:G115"/>
    <mergeCell ref="I114:I115"/>
    <mergeCell ref="L114:L115"/>
    <mergeCell ref="A82:A83"/>
    <mergeCell ref="C82:C83"/>
    <mergeCell ref="D82:D83"/>
    <mergeCell ref="E82:E83"/>
    <mergeCell ref="F82:F83"/>
    <mergeCell ref="G82:G83"/>
    <mergeCell ref="I82:I83"/>
    <mergeCell ref="L82:L83"/>
    <mergeCell ref="A112:A113"/>
    <mergeCell ref="C112:C113"/>
    <mergeCell ref="D112:D113"/>
    <mergeCell ref="E112:E113"/>
    <mergeCell ref="F112:F113"/>
    <mergeCell ref="G112:G113"/>
    <mergeCell ref="I112:I113"/>
    <mergeCell ref="L112:L113"/>
    <mergeCell ref="I102:I103"/>
    <mergeCell ref="L102:L103"/>
    <mergeCell ref="A110:A111"/>
    <mergeCell ref="C110:C111"/>
    <mergeCell ref="D110:D111"/>
    <mergeCell ref="E110:E111"/>
    <mergeCell ref="F110:F111"/>
    <mergeCell ref="G110:G111"/>
    <mergeCell ref="I110:I111"/>
    <mergeCell ref="L110:L111"/>
    <mergeCell ref="F108:F109"/>
    <mergeCell ref="G108:G109"/>
    <mergeCell ref="I108:I109"/>
    <mergeCell ref="L108:L109"/>
    <mergeCell ref="F106:F107"/>
    <mergeCell ref="G106:G107"/>
    <mergeCell ref="I106:I107"/>
    <mergeCell ref="L106:L107"/>
    <mergeCell ref="A108:A109"/>
    <mergeCell ref="C108:C109"/>
    <mergeCell ref="D108:D109"/>
    <mergeCell ref="E108:E109"/>
    <mergeCell ref="A116:M116"/>
    <mergeCell ref="A117:Q117"/>
    <mergeCell ref="A118:M118"/>
    <mergeCell ref="A119:A120"/>
    <mergeCell ref="C119:C120"/>
    <mergeCell ref="D119:D120"/>
    <mergeCell ref="E119:E120"/>
    <mergeCell ref="F119:F120"/>
    <mergeCell ref="G119:G120"/>
    <mergeCell ref="I119:I120"/>
    <mergeCell ref="L119:L120"/>
    <mergeCell ref="A121:A122"/>
    <mergeCell ref="C121:C122"/>
    <mergeCell ref="D121:D122"/>
    <mergeCell ref="E121:E122"/>
    <mergeCell ref="F121:F122"/>
    <mergeCell ref="G121:G122"/>
    <mergeCell ref="I121:I122"/>
    <mergeCell ref="L121:L122"/>
    <mergeCell ref="A123:A124"/>
    <mergeCell ref="C123:C124"/>
    <mergeCell ref="D123:D124"/>
    <mergeCell ref="E123:E124"/>
    <mergeCell ref="F123:F124"/>
    <mergeCell ref="G123:G124"/>
    <mergeCell ref="I123:I124"/>
    <mergeCell ref="L123:L124"/>
    <mergeCell ref="A125:A126"/>
    <mergeCell ref="C125:C126"/>
    <mergeCell ref="D125:D126"/>
    <mergeCell ref="E125:E126"/>
    <mergeCell ref="F125:F126"/>
    <mergeCell ref="G125:G126"/>
    <mergeCell ref="I125:I126"/>
    <mergeCell ref="L125:L126"/>
    <mergeCell ref="A127:A128"/>
    <mergeCell ref="C127:C128"/>
    <mergeCell ref="D127:D128"/>
    <mergeCell ref="E127:E128"/>
    <mergeCell ref="F127:F128"/>
    <mergeCell ref="G127:G128"/>
    <mergeCell ref="I127:I128"/>
    <mergeCell ref="L127:L128"/>
    <mergeCell ref="A129:A130"/>
    <mergeCell ref="C129:C130"/>
    <mergeCell ref="D129:D130"/>
    <mergeCell ref="E129:E130"/>
    <mergeCell ref="F129:F130"/>
    <mergeCell ref="G129:G130"/>
    <mergeCell ref="I129:I130"/>
    <mergeCell ref="L129:L130"/>
    <mergeCell ref="A131:A132"/>
    <mergeCell ref="C131:C132"/>
    <mergeCell ref="D131:D132"/>
    <mergeCell ref="E131:E132"/>
    <mergeCell ref="F131:F132"/>
    <mergeCell ref="G131:G132"/>
    <mergeCell ref="I131:I132"/>
    <mergeCell ref="L131:L132"/>
    <mergeCell ref="D149:D150"/>
    <mergeCell ref="E149:E150"/>
    <mergeCell ref="F149:F150"/>
    <mergeCell ref="G149:G150"/>
    <mergeCell ref="I149:I150"/>
    <mergeCell ref="L149:L150"/>
    <mergeCell ref="A151:A152"/>
    <mergeCell ref="C151:C152"/>
    <mergeCell ref="D151:D152"/>
    <mergeCell ref="E151:E152"/>
    <mergeCell ref="F151:F152"/>
    <mergeCell ref="G151:G152"/>
    <mergeCell ref="I151:I152"/>
    <mergeCell ref="L151:L152"/>
    <mergeCell ref="O158:P158"/>
    <mergeCell ref="A153:A154"/>
    <mergeCell ref="C153:C154"/>
    <mergeCell ref="D153:D154"/>
    <mergeCell ref="E153:E154"/>
    <mergeCell ref="F153:F154"/>
    <mergeCell ref="G153:G154"/>
    <mergeCell ref="I153:I154"/>
    <mergeCell ref="L153:L154"/>
    <mergeCell ref="A155:A156"/>
    <mergeCell ref="C155:C156"/>
    <mergeCell ref="D155:D156"/>
    <mergeCell ref="E155:E156"/>
    <mergeCell ref="F155:F156"/>
    <mergeCell ref="G155:G156"/>
    <mergeCell ref="I155:I156"/>
    <mergeCell ref="L155:L156"/>
  </mergeCells>
  <conditionalFormatting sqref="A173">
    <cfRule type="duplicateValues" dxfId="97" priority="56" stopIfTrue="1"/>
  </conditionalFormatting>
  <conditionalFormatting sqref="A175">
    <cfRule type="duplicateValues" dxfId="96" priority="55" stopIfTrue="1"/>
  </conditionalFormatting>
  <conditionalFormatting sqref="A174">
    <cfRule type="duplicateValues" dxfId="95" priority="59" stopIfTrue="1"/>
  </conditionalFormatting>
  <conditionalFormatting sqref="A179">
    <cfRule type="duplicateValues" dxfId="94" priority="53" stopIfTrue="1"/>
  </conditionalFormatting>
  <conditionalFormatting sqref="A180 A176 A178 A182">
    <cfRule type="duplicateValues" dxfId="93" priority="60" stopIfTrue="1"/>
  </conditionalFormatting>
  <conditionalFormatting sqref="A177">
    <cfRule type="duplicateValues" dxfId="92" priority="44" stopIfTrue="1"/>
  </conditionalFormatting>
  <conditionalFormatting sqref="A181">
    <cfRule type="duplicateValues" dxfId="91" priority="43" stopIfTrue="1"/>
  </conditionalFormatting>
  <conditionalFormatting sqref="A157:A158">
    <cfRule type="duplicateValues" dxfId="90" priority="10" stopIfTrue="1"/>
    <cfRule type="duplicateValues" dxfId="89" priority="11" stopIfTrue="1"/>
  </conditionalFormatting>
  <conditionalFormatting sqref="A167:A168">
    <cfRule type="duplicateValues" dxfId="88" priority="6" stopIfTrue="1"/>
  </conditionalFormatting>
  <conditionalFormatting sqref="A170">
    <cfRule type="duplicateValues" dxfId="87" priority="4" stopIfTrue="1"/>
  </conditionalFormatting>
  <conditionalFormatting sqref="A169">
    <cfRule type="duplicateValues" dxfId="86" priority="5" stopIfTrue="1"/>
  </conditionalFormatting>
  <conditionalFormatting sqref="A165:A166">
    <cfRule type="duplicateValues" dxfId="85" priority="2" stopIfTrue="1"/>
  </conditionalFormatting>
  <conditionalFormatting sqref="A165:A166">
    <cfRule type="duplicateValues" dxfId="84" priority="3" stopIfTrue="1"/>
  </conditionalFormatting>
  <conditionalFormatting sqref="A163:A164">
    <cfRule type="duplicateValues" dxfId="83" priority="1" stopIfTrue="1"/>
  </conditionalFormatting>
  <conditionalFormatting sqref="A159:A162">
    <cfRule type="duplicateValues" dxfId="82" priority="385" stopIfTrue="1"/>
  </conditionalFormatting>
  <conditionalFormatting sqref="A171:A172">
    <cfRule type="duplicateValues" dxfId="81" priority="421" stopIfTrue="1"/>
  </conditionalFormatting>
  <hyperlinks>
    <hyperlink ref="A184" r:id="rId2" display="www.general-russia.ru"/>
  </hyperlinks>
  <pageMargins left="0.7" right="0.7" top="0.75" bottom="0.75" header="0.3" footer="0.3"/>
  <pageSetup paperSize="9" scale="38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68"/>
  <sheetViews>
    <sheetView view="pageBreakPreview" zoomScale="70" zoomScaleNormal="80" zoomScaleSheetLayoutView="70" workbookViewId="0">
      <pane ySplit="6" topLeftCell="A7" activePane="bottomLeft" state="frozen"/>
      <selection pane="bottomLeft"/>
    </sheetView>
  </sheetViews>
  <sheetFormatPr defaultColWidth="9.08984375" defaultRowHeight="12.5"/>
  <cols>
    <col min="1" max="1" width="26.90625" style="7" customWidth="1"/>
    <col min="2" max="2" width="17" style="7" customWidth="1"/>
    <col min="3" max="3" width="10.6328125" style="7" customWidth="1"/>
    <col min="4" max="4" width="11.36328125" style="7" customWidth="1"/>
    <col min="5" max="5" width="13.54296875" style="7" customWidth="1"/>
    <col min="6" max="6" width="10.36328125" style="7" customWidth="1"/>
    <col min="7" max="7" width="11.54296875" style="7" customWidth="1"/>
    <col min="8" max="9" width="13" style="7" customWidth="1"/>
    <col min="10" max="10" width="8.90625" style="7" customWidth="1"/>
    <col min="11" max="11" width="9.36328125" style="7" customWidth="1"/>
    <col min="12" max="12" width="14.08984375" style="7" customWidth="1"/>
    <col min="13" max="13" width="12.36328125" style="7" customWidth="1"/>
    <col min="14" max="14" width="11.453125" style="7" customWidth="1"/>
    <col min="15" max="15" width="17" style="56" customWidth="1"/>
    <col min="16" max="17" width="9.08984375" style="7" customWidth="1"/>
    <col min="18" max="49" width="9.08984375" style="57" customWidth="1"/>
    <col min="50" max="16384" width="9.08984375" style="7"/>
  </cols>
  <sheetData>
    <row r="1" spans="1:50" ht="53.25" customHeight="1">
      <c r="A1" s="385"/>
      <c r="B1" s="386"/>
      <c r="C1" s="387"/>
      <c r="D1" s="386"/>
      <c r="E1" s="388"/>
      <c r="F1" s="386"/>
      <c r="G1" s="389"/>
      <c r="H1" s="386"/>
      <c r="I1" s="386"/>
      <c r="J1" s="386"/>
      <c r="K1" s="390"/>
      <c r="L1" s="390"/>
      <c r="M1" s="390"/>
      <c r="N1" s="390"/>
      <c r="O1" s="406"/>
      <c r="P1" s="391" t="s">
        <v>512</v>
      </c>
      <c r="Q1" s="407"/>
      <c r="AX1" s="57"/>
    </row>
    <row r="2" spans="1:50" ht="15.75" customHeight="1" thickBot="1">
      <c r="A2" s="393"/>
      <c r="B2" s="203"/>
      <c r="C2" s="204"/>
      <c r="D2" s="203"/>
      <c r="E2" s="209"/>
      <c r="F2" s="203"/>
      <c r="G2" s="210"/>
      <c r="H2" s="203"/>
      <c r="I2" s="203"/>
      <c r="J2" s="203"/>
      <c r="K2" s="206"/>
      <c r="L2" s="206"/>
      <c r="M2" s="206"/>
      <c r="N2" s="207"/>
      <c r="O2" s="216"/>
      <c r="P2" s="349"/>
      <c r="Q2" s="411"/>
      <c r="AX2" s="57"/>
    </row>
    <row r="3" spans="1:50" ht="18.75" customHeight="1" thickBot="1">
      <c r="A3" s="395"/>
      <c r="B3" s="70"/>
      <c r="C3" s="327" t="s">
        <v>1289</v>
      </c>
      <c r="D3" s="131">
        <v>0.35</v>
      </c>
      <c r="E3" s="132"/>
      <c r="F3" s="133" t="s">
        <v>480</v>
      </c>
      <c r="G3" s="133"/>
      <c r="H3" s="686"/>
      <c r="I3" s="686"/>
      <c r="J3" s="687"/>
      <c r="K3" s="322">
        <f>SUM(N9:N45)</f>
        <v>0</v>
      </c>
      <c r="L3" s="570" t="s">
        <v>900</v>
      </c>
      <c r="M3" s="570"/>
      <c r="N3" s="134">
        <f>SUMPRODUCT(J9:J45,P9:P45)</f>
        <v>0</v>
      </c>
      <c r="O3" s="570" t="s">
        <v>478</v>
      </c>
      <c r="P3" s="570"/>
      <c r="Q3" s="396">
        <f>SUMPRODUCT(J9:J45,Q9:Q45)</f>
        <v>0</v>
      </c>
      <c r="AX3" s="57"/>
    </row>
    <row r="4" spans="1:50" s="56" customFormat="1" ht="8.4" customHeight="1">
      <c r="A4" s="397"/>
      <c r="B4" s="191"/>
      <c r="C4" s="117"/>
      <c r="D4" s="192"/>
      <c r="E4" s="192"/>
      <c r="F4" s="192"/>
      <c r="G4" s="192"/>
      <c r="H4" s="193"/>
      <c r="I4" s="193"/>
      <c r="J4" s="117"/>
      <c r="K4" s="117"/>
      <c r="L4" s="117"/>
      <c r="M4" s="117"/>
      <c r="N4" s="117"/>
      <c r="O4" s="117"/>
      <c r="P4" s="117"/>
      <c r="Q4" s="398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</row>
    <row r="5" spans="1:50" ht="25.25" customHeight="1">
      <c r="A5" s="634" t="s">
        <v>47</v>
      </c>
      <c r="B5" s="343" t="s">
        <v>26</v>
      </c>
      <c r="C5" s="577" t="s">
        <v>48</v>
      </c>
      <c r="D5" s="577"/>
      <c r="E5" s="577" t="s">
        <v>85</v>
      </c>
      <c r="F5" s="577"/>
      <c r="G5" s="571" t="s">
        <v>492</v>
      </c>
      <c r="H5" s="578" t="s">
        <v>493</v>
      </c>
      <c r="I5" s="636" t="s">
        <v>740</v>
      </c>
      <c r="J5" s="580" t="s">
        <v>28</v>
      </c>
      <c r="K5" s="561" t="s">
        <v>22</v>
      </c>
      <c r="L5" s="714" t="s">
        <v>490</v>
      </c>
      <c r="M5" s="573" t="s">
        <v>491</v>
      </c>
      <c r="N5" s="714" t="s">
        <v>27</v>
      </c>
      <c r="O5" s="713" t="s">
        <v>318</v>
      </c>
      <c r="P5" s="713" t="s">
        <v>23</v>
      </c>
      <c r="Q5" s="715" t="s">
        <v>24</v>
      </c>
    </row>
    <row r="6" spans="1:50" ht="30.65" customHeight="1">
      <c r="A6" s="634"/>
      <c r="B6" s="343" t="s">
        <v>25</v>
      </c>
      <c r="C6" s="344" t="s">
        <v>49</v>
      </c>
      <c r="D6" s="344" t="s">
        <v>50</v>
      </c>
      <c r="E6" s="344" t="s">
        <v>86</v>
      </c>
      <c r="F6" s="344" t="s">
        <v>87</v>
      </c>
      <c r="G6" s="571"/>
      <c r="H6" s="578"/>
      <c r="I6" s="636"/>
      <c r="J6" s="580"/>
      <c r="K6" s="561"/>
      <c r="L6" s="714"/>
      <c r="M6" s="573"/>
      <c r="N6" s="714"/>
      <c r="O6" s="713"/>
      <c r="P6" s="713"/>
      <c r="Q6" s="715"/>
    </row>
    <row r="7" spans="1:50" ht="41.25" customHeight="1">
      <c r="A7" s="652" t="s">
        <v>1040</v>
      </c>
      <c r="B7" s="653"/>
      <c r="C7" s="653"/>
      <c r="D7" s="653"/>
      <c r="E7" s="653"/>
      <c r="F7" s="653"/>
      <c r="G7" s="653"/>
      <c r="H7" s="653"/>
      <c r="I7" s="653"/>
      <c r="J7" s="653"/>
      <c r="K7" s="653"/>
      <c r="L7" s="653"/>
      <c r="M7" s="653"/>
      <c r="N7" s="149"/>
      <c r="O7" s="150"/>
      <c r="P7" s="150"/>
      <c r="Q7" s="399"/>
      <c r="S7" s="92"/>
      <c r="T7" s="92"/>
      <c r="U7" s="92"/>
    </row>
    <row r="8" spans="1:50" ht="34.5" customHeight="1">
      <c r="A8" s="537" t="s">
        <v>157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9"/>
      <c r="R8" s="75"/>
      <c r="S8" s="92"/>
      <c r="T8" s="92"/>
      <c r="U8" s="92"/>
    </row>
    <row r="9" spans="1:50" ht="15" customHeight="1">
      <c r="A9" s="530" t="s">
        <v>156</v>
      </c>
      <c r="B9" s="143" t="s">
        <v>66</v>
      </c>
      <c r="C9" s="535" t="s">
        <v>1003</v>
      </c>
      <c r="D9" s="535" t="s">
        <v>1004</v>
      </c>
      <c r="E9" s="535" t="s">
        <v>89</v>
      </c>
      <c r="F9" s="535" t="s">
        <v>116</v>
      </c>
      <c r="G9" s="631">
        <f>H9+H10</f>
        <v>2012</v>
      </c>
      <c r="H9" s="146">
        <v>1048</v>
      </c>
      <c r="I9" s="532">
        <v>136100</v>
      </c>
      <c r="J9" s="160"/>
      <c r="K9" s="145">
        <f>$D$3</f>
        <v>0.35</v>
      </c>
      <c r="L9" s="550">
        <f>SUM(G9-(G9*K9))</f>
        <v>1307.8000000000002</v>
      </c>
      <c r="M9" s="146">
        <f>SUM(H9-(H9*K9))</f>
        <v>681.2</v>
      </c>
      <c r="N9" s="358">
        <f t="shared" ref="N9:N26" si="0">J9*M9</f>
        <v>0</v>
      </c>
      <c r="O9" s="338" t="s">
        <v>549</v>
      </c>
      <c r="P9" s="336">
        <v>0.29099999999999998</v>
      </c>
      <c r="Q9" s="367">
        <v>36</v>
      </c>
      <c r="S9" s="92"/>
      <c r="T9" s="92"/>
      <c r="U9" s="92"/>
    </row>
    <row r="10" spans="1:50" ht="15" customHeight="1">
      <c r="A10" s="531"/>
      <c r="B10" s="143" t="s">
        <v>802</v>
      </c>
      <c r="C10" s="536"/>
      <c r="D10" s="536"/>
      <c r="E10" s="535"/>
      <c r="F10" s="535"/>
      <c r="G10" s="712"/>
      <c r="H10" s="146">
        <v>964</v>
      </c>
      <c r="I10" s="532"/>
      <c r="J10" s="160"/>
      <c r="K10" s="145">
        <f>$D$3</f>
        <v>0.35</v>
      </c>
      <c r="L10" s="550"/>
      <c r="M10" s="146">
        <f>SUM(H10-(H10*K10))</f>
        <v>626.6</v>
      </c>
      <c r="N10" s="358">
        <f t="shared" si="0"/>
        <v>0</v>
      </c>
      <c r="O10" s="338" t="s">
        <v>319</v>
      </c>
      <c r="P10" s="336">
        <v>0.249</v>
      </c>
      <c r="Q10" s="367">
        <v>44</v>
      </c>
      <c r="S10" s="92"/>
      <c r="T10" s="92"/>
      <c r="U10" s="92"/>
    </row>
    <row r="11" spans="1:50" ht="15" customHeight="1">
      <c r="A11" s="530" t="s">
        <v>267</v>
      </c>
      <c r="B11" s="143" t="s">
        <v>202</v>
      </c>
      <c r="C11" s="633" t="s">
        <v>988</v>
      </c>
      <c r="D11" s="555" t="s">
        <v>1006</v>
      </c>
      <c r="E11" s="542" t="s">
        <v>117</v>
      </c>
      <c r="F11" s="542" t="s">
        <v>542</v>
      </c>
      <c r="G11" s="631">
        <f>H11+H12</f>
        <v>2404</v>
      </c>
      <c r="H11" s="146">
        <v>1501</v>
      </c>
      <c r="I11" s="532">
        <v>162600</v>
      </c>
      <c r="J11" s="160"/>
      <c r="K11" s="145">
        <f>$D$3</f>
        <v>0.35</v>
      </c>
      <c r="L11" s="550">
        <f>SUM(G11-(G11*K11))</f>
        <v>1562.6</v>
      </c>
      <c r="M11" s="146">
        <f>SUM(H11-(H11*K11))</f>
        <v>975.65</v>
      </c>
      <c r="N11" s="358">
        <f t="shared" si="0"/>
        <v>0</v>
      </c>
      <c r="O11" s="338" t="s">
        <v>337</v>
      </c>
      <c r="P11" s="336">
        <v>0.29099999999999998</v>
      </c>
      <c r="Q11" s="367">
        <v>36</v>
      </c>
      <c r="S11" s="92"/>
      <c r="T11" s="92"/>
      <c r="U11" s="92"/>
    </row>
    <row r="12" spans="1:50" ht="15" customHeight="1">
      <c r="A12" s="531"/>
      <c r="B12" s="143" t="s">
        <v>821</v>
      </c>
      <c r="C12" s="668"/>
      <c r="D12" s="662"/>
      <c r="E12" s="542"/>
      <c r="F12" s="542"/>
      <c r="G12" s="712"/>
      <c r="H12" s="146">
        <v>903</v>
      </c>
      <c r="I12" s="532"/>
      <c r="J12" s="160"/>
      <c r="K12" s="145">
        <f>$D$3</f>
        <v>0.35</v>
      </c>
      <c r="L12" s="550"/>
      <c r="M12" s="146">
        <f>SUM(H12-(H12*K12))</f>
        <v>586.95000000000005</v>
      </c>
      <c r="N12" s="358">
        <f t="shared" si="0"/>
        <v>0</v>
      </c>
      <c r="O12" s="338" t="s">
        <v>328</v>
      </c>
      <c r="P12" s="336">
        <v>0.249</v>
      </c>
      <c r="Q12" s="367">
        <v>48</v>
      </c>
      <c r="S12" s="92"/>
      <c r="T12" s="92"/>
      <c r="U12" s="92"/>
    </row>
    <row r="13" spans="1:50" ht="39.75" customHeight="1">
      <c r="A13" s="652" t="s">
        <v>1041</v>
      </c>
      <c r="B13" s="653"/>
      <c r="C13" s="653"/>
      <c r="D13" s="653"/>
      <c r="E13" s="653"/>
      <c r="F13" s="653"/>
      <c r="G13" s="653"/>
      <c r="H13" s="653"/>
      <c r="I13" s="653"/>
      <c r="J13" s="653"/>
      <c r="K13" s="653"/>
      <c r="L13" s="653"/>
      <c r="M13" s="653"/>
      <c r="N13" s="149"/>
      <c r="O13" s="150"/>
      <c r="P13" s="150"/>
      <c r="Q13" s="399"/>
      <c r="S13" s="92"/>
      <c r="T13" s="92"/>
      <c r="U13" s="92"/>
    </row>
    <row r="14" spans="1:50" ht="34.5" customHeight="1">
      <c r="A14" s="537" t="s">
        <v>499</v>
      </c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9"/>
      <c r="R14" s="75"/>
      <c r="S14" s="92"/>
      <c r="T14" s="92"/>
      <c r="U14" s="92"/>
    </row>
    <row r="15" spans="1:50" ht="15" customHeight="1">
      <c r="A15" s="530" t="s">
        <v>268</v>
      </c>
      <c r="B15" s="143" t="s">
        <v>291</v>
      </c>
      <c r="C15" s="555" t="s">
        <v>1042</v>
      </c>
      <c r="D15" s="555" t="s">
        <v>1043</v>
      </c>
      <c r="E15" s="555" t="s">
        <v>89</v>
      </c>
      <c r="F15" s="555" t="s">
        <v>116</v>
      </c>
      <c r="G15" s="631">
        <f>H15+H16</f>
        <v>3336</v>
      </c>
      <c r="H15" s="146">
        <v>1668</v>
      </c>
      <c r="I15" s="532">
        <v>225600</v>
      </c>
      <c r="J15" s="160"/>
      <c r="K15" s="145">
        <f t="shared" ref="K15:K26" si="1">$D$3</f>
        <v>0.35</v>
      </c>
      <c r="L15" s="550">
        <f>SUM(G15-(G15*K15))</f>
        <v>2168.4</v>
      </c>
      <c r="M15" s="146">
        <f t="shared" ref="M15:M26" si="2">SUM(H15-(H15*K15))</f>
        <v>1084.2</v>
      </c>
      <c r="N15" s="358">
        <f t="shared" si="0"/>
        <v>0</v>
      </c>
      <c r="O15" s="338" t="s">
        <v>338</v>
      </c>
      <c r="P15" s="336">
        <v>0.45200000000000001</v>
      </c>
      <c r="Q15" s="367">
        <v>58</v>
      </c>
      <c r="S15" s="92"/>
      <c r="T15" s="92"/>
      <c r="U15" s="92"/>
    </row>
    <row r="16" spans="1:50" ht="15" customHeight="1">
      <c r="A16" s="530"/>
      <c r="B16" s="143" t="s">
        <v>285</v>
      </c>
      <c r="C16" s="555"/>
      <c r="D16" s="555"/>
      <c r="E16" s="555"/>
      <c r="F16" s="555"/>
      <c r="G16" s="631"/>
      <c r="H16" s="146">
        <v>1668</v>
      </c>
      <c r="I16" s="532"/>
      <c r="J16" s="160"/>
      <c r="K16" s="145">
        <f t="shared" si="1"/>
        <v>0.35</v>
      </c>
      <c r="L16" s="550"/>
      <c r="M16" s="146">
        <f t="shared" si="2"/>
        <v>1084.2</v>
      </c>
      <c r="N16" s="358">
        <f t="shared" si="0"/>
        <v>0</v>
      </c>
      <c r="O16" s="338" t="s">
        <v>320</v>
      </c>
      <c r="P16" s="174">
        <v>0.45300000000000001</v>
      </c>
      <c r="Q16" s="370">
        <v>68</v>
      </c>
      <c r="S16" s="92"/>
      <c r="T16" s="92"/>
      <c r="U16" s="92"/>
    </row>
    <row r="17" spans="1:49" s="68" customFormat="1" ht="15" customHeight="1">
      <c r="A17" s="530" t="s">
        <v>269</v>
      </c>
      <c r="B17" s="143" t="s">
        <v>292</v>
      </c>
      <c r="C17" s="535" t="s">
        <v>1044</v>
      </c>
      <c r="D17" s="535" t="s">
        <v>1045</v>
      </c>
      <c r="E17" s="535" t="s">
        <v>89</v>
      </c>
      <c r="F17" s="535" t="s">
        <v>133</v>
      </c>
      <c r="G17" s="631">
        <f>H17+H18</f>
        <v>4256</v>
      </c>
      <c r="H17" s="146">
        <v>2228</v>
      </c>
      <c r="I17" s="532">
        <v>287800</v>
      </c>
      <c r="J17" s="160"/>
      <c r="K17" s="145">
        <f t="shared" si="1"/>
        <v>0.35</v>
      </c>
      <c r="L17" s="550">
        <f>SUM(G17-(G17*K17))</f>
        <v>2766.4</v>
      </c>
      <c r="M17" s="146">
        <f t="shared" si="2"/>
        <v>1448.2</v>
      </c>
      <c r="N17" s="358">
        <f t="shared" si="0"/>
        <v>0</v>
      </c>
      <c r="O17" s="338" t="s">
        <v>338</v>
      </c>
      <c r="P17" s="174">
        <v>0.45200000000000001</v>
      </c>
      <c r="Q17" s="370">
        <v>58</v>
      </c>
      <c r="R17" s="64"/>
      <c r="S17" s="92"/>
      <c r="T17" s="92"/>
      <c r="U17" s="92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</row>
    <row r="18" spans="1:49" s="68" customFormat="1" ht="15" customHeight="1">
      <c r="A18" s="530"/>
      <c r="B18" s="143" t="s">
        <v>286</v>
      </c>
      <c r="C18" s="535"/>
      <c r="D18" s="535"/>
      <c r="E18" s="535"/>
      <c r="F18" s="535"/>
      <c r="G18" s="631"/>
      <c r="H18" s="146">
        <v>2028</v>
      </c>
      <c r="I18" s="532"/>
      <c r="J18" s="160"/>
      <c r="K18" s="145">
        <f t="shared" si="1"/>
        <v>0.35</v>
      </c>
      <c r="L18" s="550"/>
      <c r="M18" s="146">
        <f t="shared" si="2"/>
        <v>1318.2</v>
      </c>
      <c r="N18" s="358">
        <f t="shared" si="0"/>
        <v>0</v>
      </c>
      <c r="O18" s="338" t="s">
        <v>550</v>
      </c>
      <c r="P18" s="174">
        <v>0.45300000000000001</v>
      </c>
      <c r="Q18" s="370">
        <v>68</v>
      </c>
      <c r="R18" s="64"/>
      <c r="S18" s="92"/>
      <c r="T18" s="92"/>
      <c r="U18" s="92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</row>
    <row r="19" spans="1:49" s="66" customFormat="1" ht="15" customHeight="1">
      <c r="A19" s="708" t="s">
        <v>270</v>
      </c>
      <c r="B19" s="143" t="s">
        <v>186</v>
      </c>
      <c r="C19" s="555" t="s">
        <v>1046</v>
      </c>
      <c r="D19" s="555" t="s">
        <v>1047</v>
      </c>
      <c r="E19" s="555" t="s">
        <v>137</v>
      </c>
      <c r="F19" s="555" t="s">
        <v>138</v>
      </c>
      <c r="G19" s="631">
        <f>H19+H20</f>
        <v>4504</v>
      </c>
      <c r="H19" s="146">
        <v>2228</v>
      </c>
      <c r="I19" s="532">
        <v>304600</v>
      </c>
      <c r="J19" s="160"/>
      <c r="K19" s="145">
        <f t="shared" si="1"/>
        <v>0.35</v>
      </c>
      <c r="L19" s="550">
        <f>SUM(G19-(G19*K19))</f>
        <v>2927.6000000000004</v>
      </c>
      <c r="M19" s="146">
        <f t="shared" si="2"/>
        <v>1448.2</v>
      </c>
      <c r="N19" s="358">
        <f t="shared" si="0"/>
        <v>0</v>
      </c>
      <c r="O19" s="338" t="s">
        <v>338</v>
      </c>
      <c r="P19" s="174">
        <v>0.45200000000000001</v>
      </c>
      <c r="Q19" s="370">
        <v>58</v>
      </c>
      <c r="R19" s="64"/>
      <c r="S19" s="92"/>
      <c r="T19" s="92"/>
      <c r="U19" s="92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</row>
    <row r="20" spans="1:49" s="66" customFormat="1" ht="15" customHeight="1">
      <c r="A20" s="708"/>
      <c r="B20" s="143" t="s">
        <v>184</v>
      </c>
      <c r="C20" s="662"/>
      <c r="D20" s="662"/>
      <c r="E20" s="555"/>
      <c r="F20" s="555"/>
      <c r="G20" s="631"/>
      <c r="H20" s="146">
        <v>2276</v>
      </c>
      <c r="I20" s="532"/>
      <c r="J20" s="160"/>
      <c r="K20" s="145">
        <f t="shared" si="1"/>
        <v>0.35</v>
      </c>
      <c r="L20" s="550"/>
      <c r="M20" s="146">
        <f t="shared" si="2"/>
        <v>1479.4</v>
      </c>
      <c r="N20" s="358">
        <f t="shared" si="0"/>
        <v>0</v>
      </c>
      <c r="O20" s="338" t="s">
        <v>343</v>
      </c>
      <c r="P20" s="174">
        <v>0.66900000000000004</v>
      </c>
      <c r="Q20" s="370">
        <v>113</v>
      </c>
      <c r="R20" s="64"/>
      <c r="S20" s="92"/>
      <c r="T20" s="92"/>
      <c r="U20" s="92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</row>
    <row r="21" spans="1:49" s="66" customFormat="1" ht="15" customHeight="1">
      <c r="A21" s="530" t="s">
        <v>271</v>
      </c>
      <c r="B21" s="143" t="s">
        <v>187</v>
      </c>
      <c r="C21" s="535" t="s">
        <v>1048</v>
      </c>
      <c r="D21" s="535" t="s">
        <v>1049</v>
      </c>
      <c r="E21" s="535" t="s">
        <v>89</v>
      </c>
      <c r="F21" s="535" t="s">
        <v>116</v>
      </c>
      <c r="G21" s="631">
        <f>H21+H22</f>
        <v>4780</v>
      </c>
      <c r="H21" s="146">
        <v>2229</v>
      </c>
      <c r="I21" s="532">
        <v>323200</v>
      </c>
      <c r="J21" s="160"/>
      <c r="K21" s="145">
        <f t="shared" si="1"/>
        <v>0.35</v>
      </c>
      <c r="L21" s="550">
        <f>SUM(G21-(G21*K21))</f>
        <v>3107</v>
      </c>
      <c r="M21" s="146">
        <f t="shared" si="2"/>
        <v>1448.85</v>
      </c>
      <c r="N21" s="358">
        <f t="shared" si="0"/>
        <v>0</v>
      </c>
      <c r="O21" s="338" t="s">
        <v>338</v>
      </c>
      <c r="P21" s="174">
        <v>0.45200000000000001</v>
      </c>
      <c r="Q21" s="370">
        <v>58</v>
      </c>
      <c r="R21" s="64"/>
      <c r="S21" s="92"/>
      <c r="T21" s="92"/>
      <c r="U21" s="92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</row>
    <row r="22" spans="1:49" ht="15" customHeight="1">
      <c r="A22" s="530"/>
      <c r="B22" s="143" t="s">
        <v>288</v>
      </c>
      <c r="C22" s="535"/>
      <c r="D22" s="535"/>
      <c r="E22" s="535"/>
      <c r="F22" s="535"/>
      <c r="G22" s="631"/>
      <c r="H22" s="146">
        <v>2551</v>
      </c>
      <c r="I22" s="532"/>
      <c r="J22" s="160"/>
      <c r="K22" s="145">
        <f t="shared" si="1"/>
        <v>0.35</v>
      </c>
      <c r="L22" s="550"/>
      <c r="M22" s="146">
        <f t="shared" si="2"/>
        <v>1658.15</v>
      </c>
      <c r="N22" s="358">
        <f t="shared" si="0"/>
        <v>0</v>
      </c>
      <c r="O22" s="338" t="s">
        <v>334</v>
      </c>
      <c r="P22" s="174">
        <v>0.66900000000000004</v>
      </c>
      <c r="Q22" s="370">
        <v>94</v>
      </c>
      <c r="S22" s="92"/>
      <c r="T22" s="92"/>
      <c r="U22" s="92"/>
    </row>
    <row r="23" spans="1:49" s="66" customFormat="1" ht="15" customHeight="1">
      <c r="A23" s="708" t="s">
        <v>278</v>
      </c>
      <c r="B23" s="143" t="s">
        <v>187</v>
      </c>
      <c r="C23" s="542" t="s">
        <v>1029</v>
      </c>
      <c r="D23" s="542" t="s">
        <v>1030</v>
      </c>
      <c r="E23" s="555" t="s">
        <v>89</v>
      </c>
      <c r="F23" s="555" t="s">
        <v>116</v>
      </c>
      <c r="G23" s="631">
        <f>H23+H24</f>
        <v>4989</v>
      </c>
      <c r="H23" s="146">
        <v>2229</v>
      </c>
      <c r="I23" s="532">
        <v>337300</v>
      </c>
      <c r="J23" s="160"/>
      <c r="K23" s="145">
        <f t="shared" si="1"/>
        <v>0.35</v>
      </c>
      <c r="L23" s="550">
        <f>SUM(G23-(G23*K23))</f>
        <v>3242.8500000000004</v>
      </c>
      <c r="M23" s="146">
        <f t="shared" si="2"/>
        <v>1448.85</v>
      </c>
      <c r="N23" s="358">
        <f t="shared" si="0"/>
        <v>0</v>
      </c>
      <c r="O23" s="338" t="s">
        <v>338</v>
      </c>
      <c r="P23" s="174">
        <v>0.45200000000000001</v>
      </c>
      <c r="Q23" s="370">
        <v>58</v>
      </c>
      <c r="R23" s="64"/>
      <c r="S23" s="92"/>
      <c r="T23" s="92"/>
      <c r="U23" s="92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</row>
    <row r="24" spans="1:49" s="66" customFormat="1" ht="15" customHeight="1">
      <c r="A24" s="708"/>
      <c r="B24" s="143" t="s">
        <v>185</v>
      </c>
      <c r="C24" s="668"/>
      <c r="D24" s="668"/>
      <c r="E24" s="555"/>
      <c r="F24" s="555"/>
      <c r="G24" s="631"/>
      <c r="H24" s="146">
        <v>2760</v>
      </c>
      <c r="I24" s="532"/>
      <c r="J24" s="160"/>
      <c r="K24" s="145">
        <f t="shared" si="1"/>
        <v>0.35</v>
      </c>
      <c r="L24" s="550"/>
      <c r="M24" s="146">
        <f t="shared" si="2"/>
        <v>1794</v>
      </c>
      <c r="N24" s="358">
        <f t="shared" si="0"/>
        <v>0</v>
      </c>
      <c r="O24" s="338" t="s">
        <v>334</v>
      </c>
      <c r="P24" s="174">
        <v>0.66900000000000004</v>
      </c>
      <c r="Q24" s="370">
        <v>113</v>
      </c>
      <c r="R24" s="64"/>
      <c r="S24" s="92"/>
      <c r="T24" s="92"/>
      <c r="U24" s="92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</row>
    <row r="25" spans="1:49" s="66" customFormat="1" ht="15" customHeight="1">
      <c r="A25" s="530" t="s">
        <v>279</v>
      </c>
      <c r="B25" s="135" t="s">
        <v>188</v>
      </c>
      <c r="C25" s="555" t="s">
        <v>1050</v>
      </c>
      <c r="D25" s="555" t="s">
        <v>1051</v>
      </c>
      <c r="E25" s="555" t="s">
        <v>135</v>
      </c>
      <c r="F25" s="555" t="s">
        <v>139</v>
      </c>
      <c r="G25" s="631">
        <f>H25+H26</f>
        <v>5592</v>
      </c>
      <c r="H25" s="146">
        <v>2492</v>
      </c>
      <c r="I25" s="532">
        <v>378100</v>
      </c>
      <c r="J25" s="160"/>
      <c r="K25" s="145">
        <f t="shared" si="1"/>
        <v>0.35</v>
      </c>
      <c r="L25" s="550">
        <f>SUM(G25-(G25*K25))</f>
        <v>3634.8</v>
      </c>
      <c r="M25" s="146">
        <f t="shared" si="2"/>
        <v>1619.8000000000002</v>
      </c>
      <c r="N25" s="358">
        <f t="shared" si="0"/>
        <v>0</v>
      </c>
      <c r="O25" s="338" t="s">
        <v>338</v>
      </c>
      <c r="P25" s="174">
        <v>0.45200000000000001</v>
      </c>
      <c r="Q25" s="370">
        <v>60</v>
      </c>
      <c r="R25" s="64"/>
      <c r="S25" s="92"/>
      <c r="T25" s="92"/>
      <c r="U25" s="92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</row>
    <row r="26" spans="1:49" s="66" customFormat="1" ht="15" customHeight="1">
      <c r="A26" s="531"/>
      <c r="B26" s="135" t="s">
        <v>189</v>
      </c>
      <c r="C26" s="662"/>
      <c r="D26" s="662"/>
      <c r="E26" s="555"/>
      <c r="F26" s="555"/>
      <c r="G26" s="631"/>
      <c r="H26" s="146">
        <v>3100</v>
      </c>
      <c r="I26" s="532"/>
      <c r="J26" s="160"/>
      <c r="K26" s="145">
        <f t="shared" si="1"/>
        <v>0.35</v>
      </c>
      <c r="L26" s="550"/>
      <c r="M26" s="146">
        <f t="shared" si="2"/>
        <v>2015</v>
      </c>
      <c r="N26" s="358">
        <f t="shared" si="0"/>
        <v>0</v>
      </c>
      <c r="O26" s="338" t="s">
        <v>334</v>
      </c>
      <c r="P26" s="174">
        <v>0.66900000000000004</v>
      </c>
      <c r="Q26" s="370">
        <v>113</v>
      </c>
      <c r="R26" s="64"/>
      <c r="S26" s="92"/>
      <c r="T26" s="92"/>
      <c r="U26" s="92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</row>
    <row r="27" spans="1:49" ht="7.5" customHeight="1">
      <c r="A27" s="412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5"/>
      <c r="O27" s="185"/>
      <c r="P27" s="184"/>
      <c r="Q27" s="413"/>
      <c r="S27" s="92"/>
      <c r="T27" s="92"/>
      <c r="U27" s="92"/>
    </row>
    <row r="28" spans="1:49" ht="1.5" customHeight="1" thickBot="1">
      <c r="A28" s="414"/>
      <c r="B28" s="178"/>
      <c r="C28" s="178"/>
      <c r="D28" s="178"/>
      <c r="E28" s="178"/>
      <c r="F28" s="178"/>
      <c r="G28" s="179"/>
      <c r="H28" s="180"/>
      <c r="I28" s="180"/>
      <c r="J28" s="181"/>
      <c r="K28" s="182"/>
      <c r="L28" s="180"/>
      <c r="M28" s="180"/>
      <c r="N28" s="117"/>
      <c r="O28" s="117"/>
      <c r="P28" s="183"/>
      <c r="Q28" s="415"/>
      <c r="S28" s="92"/>
      <c r="T28" s="92"/>
      <c r="U28" s="92"/>
    </row>
    <row r="29" spans="1:49" ht="30" customHeight="1">
      <c r="A29" s="617" t="s">
        <v>51</v>
      </c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119"/>
      <c r="O29" s="120"/>
      <c r="P29" s="120"/>
      <c r="Q29" s="368"/>
      <c r="S29" s="92"/>
      <c r="T29" s="92"/>
      <c r="U29" s="92"/>
    </row>
    <row r="30" spans="1:49" ht="69.75" customHeight="1">
      <c r="A30" s="400"/>
      <c r="B30" s="575" t="s">
        <v>365</v>
      </c>
      <c r="C30" s="575"/>
      <c r="D30" s="575"/>
      <c r="E30" s="551" t="s">
        <v>364</v>
      </c>
      <c r="F30" s="551"/>
      <c r="G30" s="551"/>
      <c r="H30" s="172" t="s">
        <v>494</v>
      </c>
      <c r="I30" s="346" t="s">
        <v>740</v>
      </c>
      <c r="J30" s="341" t="s">
        <v>28</v>
      </c>
      <c r="K30" s="341" t="s">
        <v>22</v>
      </c>
      <c r="L30" s="173" t="s">
        <v>490</v>
      </c>
      <c r="M30" s="159"/>
      <c r="N30" s="173" t="s">
        <v>27</v>
      </c>
      <c r="O30" s="551" t="s">
        <v>23</v>
      </c>
      <c r="P30" s="551"/>
      <c r="Q30" s="379" t="s">
        <v>24</v>
      </c>
      <c r="S30" s="92"/>
      <c r="T30" s="92"/>
      <c r="U30" s="92"/>
      <c r="AT30" s="7"/>
      <c r="AU30" s="7"/>
      <c r="AV30" s="7"/>
      <c r="AW30" s="7"/>
    </row>
    <row r="31" spans="1:49" ht="69" customHeight="1">
      <c r="A31" s="380" t="s">
        <v>1130</v>
      </c>
      <c r="B31" s="547" t="s">
        <v>451</v>
      </c>
      <c r="C31" s="547"/>
      <c r="D31" s="547"/>
      <c r="E31" s="547" t="s">
        <v>450</v>
      </c>
      <c r="F31" s="547"/>
      <c r="G31" s="547"/>
      <c r="H31" s="354">
        <v>221</v>
      </c>
      <c r="I31" s="330">
        <v>14400</v>
      </c>
      <c r="J31" s="160"/>
      <c r="K31" s="145">
        <f t="shared" ref="K31:K45" si="3">$D$3</f>
        <v>0.35</v>
      </c>
      <c r="L31" s="340">
        <f t="shared" ref="L31:L45" si="4">SUM(H31-(H31*K31))</f>
        <v>143.65</v>
      </c>
      <c r="M31" s="161"/>
      <c r="N31" s="331">
        <f t="shared" ref="N31:N36" si="5">J31*L31</f>
        <v>0</v>
      </c>
      <c r="O31" s="546">
        <v>4.0000000000000001E-3</v>
      </c>
      <c r="P31" s="546"/>
      <c r="Q31" s="367">
        <v>2</v>
      </c>
      <c r="S31" s="92"/>
      <c r="T31" s="92"/>
      <c r="U31" s="92"/>
      <c r="AT31" s="7"/>
      <c r="AU31" s="7"/>
      <c r="AV31" s="7"/>
      <c r="AW31" s="7"/>
    </row>
    <row r="32" spans="1:49" ht="69" customHeight="1">
      <c r="A32" s="380" t="s">
        <v>1131</v>
      </c>
      <c r="B32" s="547" t="s">
        <v>489</v>
      </c>
      <c r="C32" s="547"/>
      <c r="D32" s="547"/>
      <c r="E32" s="547" t="s">
        <v>450</v>
      </c>
      <c r="F32" s="547"/>
      <c r="G32" s="547"/>
      <c r="H32" s="354">
        <v>169</v>
      </c>
      <c r="I32" s="330">
        <v>11000</v>
      </c>
      <c r="J32" s="160"/>
      <c r="K32" s="145">
        <f t="shared" si="3"/>
        <v>0.35</v>
      </c>
      <c r="L32" s="340">
        <f t="shared" si="4"/>
        <v>109.85</v>
      </c>
      <c r="M32" s="161"/>
      <c r="N32" s="331">
        <f t="shared" si="5"/>
        <v>0</v>
      </c>
      <c r="O32" s="546">
        <v>1.7999999999999999E-2</v>
      </c>
      <c r="P32" s="546"/>
      <c r="Q32" s="367">
        <v>0.9</v>
      </c>
      <c r="S32" s="92"/>
      <c r="T32" s="92"/>
      <c r="U32" s="92"/>
      <c r="AT32" s="7"/>
      <c r="AU32" s="7"/>
      <c r="AV32" s="7"/>
      <c r="AW32" s="7"/>
    </row>
    <row r="33" spans="1:57" ht="40.25" customHeight="1">
      <c r="A33" s="380" t="s">
        <v>1140</v>
      </c>
      <c r="B33" s="547" t="s">
        <v>399</v>
      </c>
      <c r="C33" s="547"/>
      <c r="D33" s="547"/>
      <c r="E33" s="547" t="s">
        <v>450</v>
      </c>
      <c r="F33" s="547"/>
      <c r="G33" s="547"/>
      <c r="H33" s="354">
        <v>156</v>
      </c>
      <c r="I33" s="330">
        <v>10200</v>
      </c>
      <c r="J33" s="160"/>
      <c r="K33" s="145">
        <f t="shared" si="3"/>
        <v>0.35</v>
      </c>
      <c r="L33" s="340">
        <f t="shared" si="4"/>
        <v>101.4</v>
      </c>
      <c r="M33" s="156"/>
      <c r="N33" s="331">
        <f t="shared" si="5"/>
        <v>0</v>
      </c>
      <c r="O33" s="546">
        <v>1.7999999999999999E-2</v>
      </c>
      <c r="P33" s="546"/>
      <c r="Q33" s="381">
        <v>0.98</v>
      </c>
      <c r="S33" s="92"/>
      <c r="T33" s="92"/>
      <c r="U33" s="92"/>
      <c r="AX33" s="57"/>
      <c r="AY33" s="57"/>
      <c r="AZ33" s="57"/>
      <c r="BA33" s="57"/>
      <c r="BB33" s="57"/>
      <c r="BC33" s="57"/>
      <c r="BD33" s="57"/>
      <c r="BE33" s="57"/>
    </row>
    <row r="34" spans="1:57" ht="42" customHeight="1">
      <c r="A34" s="380" t="s">
        <v>1143</v>
      </c>
      <c r="B34" s="547" t="s">
        <v>376</v>
      </c>
      <c r="C34" s="547"/>
      <c r="D34" s="547"/>
      <c r="E34" s="547"/>
      <c r="F34" s="547"/>
      <c r="G34" s="547"/>
      <c r="H34" s="354">
        <v>792</v>
      </c>
      <c r="I34" s="330">
        <v>51500</v>
      </c>
      <c r="J34" s="160"/>
      <c r="K34" s="145">
        <f t="shared" si="3"/>
        <v>0.35</v>
      </c>
      <c r="L34" s="340">
        <f t="shared" si="4"/>
        <v>514.79999999999995</v>
      </c>
      <c r="M34" s="161"/>
      <c r="N34" s="331">
        <f t="shared" si="5"/>
        <v>0</v>
      </c>
      <c r="O34" s="545">
        <v>1.6E-2</v>
      </c>
      <c r="P34" s="545"/>
      <c r="Q34" s="403">
        <v>2</v>
      </c>
      <c r="S34" s="92"/>
      <c r="T34" s="92"/>
      <c r="U34" s="92"/>
    </row>
    <row r="35" spans="1:57" ht="42" customHeight="1">
      <c r="A35" s="380" t="s">
        <v>1135</v>
      </c>
      <c r="B35" s="547" t="s">
        <v>688</v>
      </c>
      <c r="C35" s="547"/>
      <c r="D35" s="547"/>
      <c r="E35" s="547" t="s">
        <v>793</v>
      </c>
      <c r="F35" s="547"/>
      <c r="G35" s="547"/>
      <c r="H35" s="354">
        <v>221</v>
      </c>
      <c r="I35" s="330">
        <v>14400</v>
      </c>
      <c r="J35" s="160"/>
      <c r="K35" s="145">
        <f t="shared" si="3"/>
        <v>0.35</v>
      </c>
      <c r="L35" s="340">
        <f t="shared" si="4"/>
        <v>143.65</v>
      </c>
      <c r="M35" s="161"/>
      <c r="N35" s="331">
        <f t="shared" si="5"/>
        <v>0</v>
      </c>
      <c r="O35" s="545">
        <v>0.02</v>
      </c>
      <c r="P35" s="545"/>
      <c r="Q35" s="403">
        <v>1.1000000000000001</v>
      </c>
      <c r="S35" s="92"/>
      <c r="T35" s="92"/>
      <c r="U35" s="92"/>
    </row>
    <row r="36" spans="1:57" ht="42" customHeight="1">
      <c r="A36" s="380" t="s">
        <v>1136</v>
      </c>
      <c r="B36" s="547" t="s">
        <v>688</v>
      </c>
      <c r="C36" s="547"/>
      <c r="D36" s="547"/>
      <c r="E36" s="547" t="s">
        <v>793</v>
      </c>
      <c r="F36" s="547"/>
      <c r="G36" s="547"/>
      <c r="H36" s="354">
        <v>333</v>
      </c>
      <c r="I36" s="330">
        <v>21700</v>
      </c>
      <c r="J36" s="160"/>
      <c r="K36" s="145">
        <f t="shared" si="3"/>
        <v>0.35</v>
      </c>
      <c r="L36" s="340">
        <f t="shared" si="4"/>
        <v>216.45</v>
      </c>
      <c r="M36" s="161"/>
      <c r="N36" s="331">
        <f t="shared" si="5"/>
        <v>0</v>
      </c>
      <c r="O36" s="545">
        <v>0.02</v>
      </c>
      <c r="P36" s="545"/>
      <c r="Q36" s="403">
        <v>1.1000000000000001</v>
      </c>
      <c r="S36" s="92"/>
      <c r="T36" s="92"/>
      <c r="U36" s="92"/>
    </row>
    <row r="37" spans="1:57" ht="42" customHeight="1">
      <c r="A37" s="380" t="s">
        <v>1144</v>
      </c>
      <c r="B37" s="547" t="s">
        <v>244</v>
      </c>
      <c r="C37" s="547"/>
      <c r="D37" s="547"/>
      <c r="E37" s="547" t="s">
        <v>367</v>
      </c>
      <c r="F37" s="547"/>
      <c r="G37" s="547"/>
      <c r="H37" s="354">
        <v>442</v>
      </c>
      <c r="I37" s="330">
        <v>28800</v>
      </c>
      <c r="J37" s="160"/>
      <c r="K37" s="145">
        <f t="shared" si="3"/>
        <v>0.35</v>
      </c>
      <c r="L37" s="340">
        <f t="shared" si="4"/>
        <v>287.3</v>
      </c>
      <c r="M37" s="161"/>
      <c r="N37" s="331">
        <f t="shared" ref="N37:N45" si="6">J37*L37</f>
        <v>0</v>
      </c>
      <c r="O37" s="545">
        <v>1.6E-2</v>
      </c>
      <c r="P37" s="545"/>
      <c r="Q37" s="403">
        <v>2</v>
      </c>
      <c r="S37" s="92"/>
      <c r="T37" s="92"/>
      <c r="U37" s="92"/>
    </row>
    <row r="38" spans="1:57" ht="42" customHeight="1">
      <c r="A38" s="380" t="s">
        <v>1145</v>
      </c>
      <c r="B38" s="547" t="s">
        <v>377</v>
      </c>
      <c r="C38" s="547"/>
      <c r="D38" s="547"/>
      <c r="E38" s="547"/>
      <c r="F38" s="547"/>
      <c r="G38" s="547"/>
      <c r="H38" s="354">
        <v>456</v>
      </c>
      <c r="I38" s="330">
        <v>29700</v>
      </c>
      <c r="J38" s="160"/>
      <c r="K38" s="145">
        <f t="shared" si="3"/>
        <v>0.35</v>
      </c>
      <c r="L38" s="340">
        <f t="shared" si="4"/>
        <v>296.39999999999998</v>
      </c>
      <c r="M38" s="161"/>
      <c r="N38" s="331">
        <f t="shared" si="6"/>
        <v>0</v>
      </c>
      <c r="O38" s="545">
        <v>6.0000000000000001E-3</v>
      </c>
      <c r="P38" s="545"/>
      <c r="Q38" s="403">
        <v>0.27</v>
      </c>
      <c r="S38" s="92"/>
      <c r="T38" s="92"/>
      <c r="U38" s="92"/>
    </row>
    <row r="39" spans="1:57" ht="42" customHeight="1">
      <c r="A39" s="380" t="s">
        <v>1146</v>
      </c>
      <c r="B39" s="547" t="s">
        <v>393</v>
      </c>
      <c r="C39" s="547"/>
      <c r="D39" s="547"/>
      <c r="E39" s="547"/>
      <c r="F39" s="547"/>
      <c r="G39" s="547"/>
      <c r="H39" s="146">
        <v>590</v>
      </c>
      <c r="I39" s="330">
        <v>38400</v>
      </c>
      <c r="J39" s="160"/>
      <c r="K39" s="145">
        <f t="shared" si="3"/>
        <v>0.35</v>
      </c>
      <c r="L39" s="340">
        <f t="shared" si="4"/>
        <v>383.5</v>
      </c>
      <c r="M39" s="161"/>
      <c r="N39" s="331">
        <f t="shared" si="6"/>
        <v>0</v>
      </c>
      <c r="O39" s="545">
        <v>6.0000000000000001E-3</v>
      </c>
      <c r="P39" s="545"/>
      <c r="Q39" s="403">
        <v>0.27</v>
      </c>
      <c r="S39" s="92"/>
      <c r="T39" s="92"/>
      <c r="U39" s="92"/>
    </row>
    <row r="40" spans="1:57" ht="42" customHeight="1">
      <c r="A40" s="380" t="s">
        <v>1133</v>
      </c>
      <c r="B40" s="547" t="s">
        <v>686</v>
      </c>
      <c r="C40" s="547"/>
      <c r="D40" s="547"/>
      <c r="E40" s="547"/>
      <c r="F40" s="547"/>
      <c r="G40" s="547"/>
      <c r="H40" s="354">
        <v>156</v>
      </c>
      <c r="I40" s="330">
        <v>10200</v>
      </c>
      <c r="J40" s="160"/>
      <c r="K40" s="145">
        <f t="shared" si="3"/>
        <v>0.35</v>
      </c>
      <c r="L40" s="340">
        <f t="shared" si="4"/>
        <v>101.4</v>
      </c>
      <c r="M40" s="161"/>
      <c r="N40" s="331">
        <f>J40*L40</f>
        <v>0</v>
      </c>
      <c r="O40" s="545">
        <v>1.6E-2</v>
      </c>
      <c r="P40" s="545"/>
      <c r="Q40" s="403">
        <v>1.5</v>
      </c>
      <c r="S40" s="92"/>
      <c r="T40" s="92"/>
      <c r="U40" s="92"/>
    </row>
    <row r="41" spans="1:57" ht="62.25" customHeight="1">
      <c r="A41" s="380" t="s">
        <v>1262</v>
      </c>
      <c r="B41" s="547" t="s">
        <v>30</v>
      </c>
      <c r="C41" s="547"/>
      <c r="D41" s="547"/>
      <c r="E41" s="548"/>
      <c r="F41" s="548"/>
      <c r="G41" s="548"/>
      <c r="H41" s="146">
        <v>147</v>
      </c>
      <c r="I41" s="330">
        <v>9600</v>
      </c>
      <c r="J41" s="160"/>
      <c r="K41" s="145">
        <f t="shared" si="3"/>
        <v>0.35</v>
      </c>
      <c r="L41" s="340">
        <f t="shared" si="4"/>
        <v>95.550000000000011</v>
      </c>
      <c r="M41" s="161"/>
      <c r="N41" s="331">
        <f t="shared" si="6"/>
        <v>0</v>
      </c>
      <c r="O41" s="545">
        <v>3.0000000000000001E-3</v>
      </c>
      <c r="P41" s="545"/>
      <c r="Q41" s="367">
        <v>0.6</v>
      </c>
      <c r="S41" s="92"/>
      <c r="T41" s="92"/>
      <c r="U41" s="92"/>
    </row>
    <row r="42" spans="1:57" ht="48" customHeight="1">
      <c r="A42" s="380" t="s">
        <v>1263</v>
      </c>
      <c r="B42" s="547" t="s">
        <v>15</v>
      </c>
      <c r="C42" s="547"/>
      <c r="D42" s="547"/>
      <c r="E42" s="548" t="s">
        <v>371</v>
      </c>
      <c r="F42" s="548"/>
      <c r="G42" s="548"/>
      <c r="H42" s="146">
        <v>66</v>
      </c>
      <c r="I42" s="330">
        <v>4300</v>
      </c>
      <c r="J42" s="160"/>
      <c r="K42" s="145">
        <f t="shared" si="3"/>
        <v>0.35</v>
      </c>
      <c r="L42" s="340">
        <f t="shared" si="4"/>
        <v>42.900000000000006</v>
      </c>
      <c r="M42" s="161"/>
      <c r="N42" s="331">
        <f t="shared" si="6"/>
        <v>0</v>
      </c>
      <c r="O42" s="545">
        <v>2E-3</v>
      </c>
      <c r="P42" s="545"/>
      <c r="Q42" s="367">
        <v>0.14000000000000001</v>
      </c>
      <c r="S42" s="92"/>
      <c r="T42" s="92"/>
      <c r="U42" s="92"/>
    </row>
    <row r="43" spans="1:57" ht="48" customHeight="1">
      <c r="A43" s="380" t="s">
        <v>1264</v>
      </c>
      <c r="B43" s="547" t="s">
        <v>203</v>
      </c>
      <c r="C43" s="547"/>
      <c r="D43" s="547"/>
      <c r="E43" s="548" t="s">
        <v>370</v>
      </c>
      <c r="F43" s="548"/>
      <c r="G43" s="548"/>
      <c r="H43" s="146">
        <v>85</v>
      </c>
      <c r="I43" s="330">
        <v>5600</v>
      </c>
      <c r="J43" s="160"/>
      <c r="K43" s="145">
        <f t="shared" si="3"/>
        <v>0.35</v>
      </c>
      <c r="L43" s="340">
        <f t="shared" si="4"/>
        <v>55.25</v>
      </c>
      <c r="M43" s="161"/>
      <c r="N43" s="331">
        <f>J43*L43</f>
        <v>0</v>
      </c>
      <c r="O43" s="546">
        <v>2E-3</v>
      </c>
      <c r="P43" s="546"/>
      <c r="Q43" s="367">
        <v>0.23</v>
      </c>
      <c r="S43" s="92"/>
      <c r="T43" s="92"/>
      <c r="U43" s="92"/>
    </row>
    <row r="44" spans="1:57" ht="48" customHeight="1">
      <c r="A44" s="380" t="s">
        <v>1147</v>
      </c>
      <c r="B44" s="547" t="s">
        <v>378</v>
      </c>
      <c r="C44" s="547"/>
      <c r="D44" s="547"/>
      <c r="E44" s="548" t="s">
        <v>452</v>
      </c>
      <c r="F44" s="548"/>
      <c r="G44" s="548"/>
      <c r="H44" s="354">
        <v>549</v>
      </c>
      <c r="I44" s="330">
        <v>35700</v>
      </c>
      <c r="J44" s="160"/>
      <c r="K44" s="145">
        <f t="shared" si="3"/>
        <v>0.35</v>
      </c>
      <c r="L44" s="340">
        <f t="shared" si="4"/>
        <v>356.85</v>
      </c>
      <c r="M44" s="161"/>
      <c r="N44" s="331">
        <f>J44*L44</f>
        <v>0</v>
      </c>
      <c r="O44" s="545">
        <v>8.9999999999999993E-3</v>
      </c>
      <c r="P44" s="545"/>
      <c r="Q44" s="381">
        <v>0.91</v>
      </c>
      <c r="S44" s="92"/>
      <c r="T44" s="92"/>
      <c r="U44" s="92"/>
    </row>
    <row r="45" spans="1:57" ht="38.25" customHeight="1">
      <c r="A45" s="380" t="s">
        <v>1405</v>
      </c>
      <c r="B45" s="547" t="s">
        <v>16</v>
      </c>
      <c r="C45" s="547"/>
      <c r="D45" s="547"/>
      <c r="E45" s="548" t="s">
        <v>380</v>
      </c>
      <c r="F45" s="548"/>
      <c r="G45" s="548"/>
      <c r="H45" s="146">
        <v>265</v>
      </c>
      <c r="I45" s="330">
        <v>17300</v>
      </c>
      <c r="J45" s="160"/>
      <c r="K45" s="145">
        <f t="shared" si="3"/>
        <v>0.35</v>
      </c>
      <c r="L45" s="340">
        <f t="shared" si="4"/>
        <v>172.25</v>
      </c>
      <c r="M45" s="161"/>
      <c r="N45" s="331">
        <f t="shared" si="6"/>
        <v>0</v>
      </c>
      <c r="O45" s="546">
        <v>2E-3</v>
      </c>
      <c r="P45" s="546">
        <v>1.2</v>
      </c>
      <c r="Q45" s="367">
        <v>1.2</v>
      </c>
      <c r="S45" s="92"/>
      <c r="T45" s="92"/>
      <c r="U45" s="92"/>
    </row>
    <row r="46" spans="1:57" s="54" customFormat="1" ht="18" customHeight="1">
      <c r="A46" s="410" t="s">
        <v>535</v>
      </c>
      <c r="B46" s="186"/>
      <c r="C46" s="186"/>
      <c r="D46" s="186"/>
      <c r="E46" s="186"/>
      <c r="F46" s="71"/>
      <c r="G46" s="71"/>
      <c r="H46" s="60"/>
      <c r="I46" s="60"/>
      <c r="J46" s="17"/>
      <c r="K46" s="61"/>
      <c r="L46" s="187"/>
      <c r="N46" s="188">
        <f>SUM(N7:N30)</f>
        <v>0</v>
      </c>
      <c r="O46" s="62"/>
      <c r="P46" s="62"/>
      <c r="Q46" s="416"/>
      <c r="R46" s="70"/>
      <c r="S46" s="92"/>
      <c r="T46" s="92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</row>
    <row r="47" spans="1:57" s="56" customFormat="1" ht="13.5" customHeight="1">
      <c r="A47" s="709" t="str">
        <f>'Бытовая серия'!A186:Q186</f>
        <v>www.general-aircond.ru</v>
      </c>
      <c r="B47" s="710"/>
      <c r="C47" s="710"/>
      <c r="D47" s="710"/>
      <c r="E47" s="710"/>
      <c r="F47" s="710"/>
      <c r="G47" s="710"/>
      <c r="H47" s="710"/>
      <c r="I47" s="710"/>
      <c r="J47" s="710"/>
      <c r="K47" s="710"/>
      <c r="L47" s="710"/>
      <c r="M47" s="710"/>
      <c r="N47" s="710"/>
      <c r="O47" s="710"/>
      <c r="P47" s="710"/>
      <c r="Q47" s="711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</row>
    <row r="48" spans="1:57" ht="13.5" customHeight="1">
      <c r="A48" s="698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/>
      <c r="N48" s="699"/>
      <c r="O48" s="699"/>
      <c r="P48" s="699"/>
      <c r="Q48" s="700"/>
    </row>
    <row r="49" spans="1:17" ht="13.5" customHeight="1">
      <c r="A49" s="701" t="str">
        <f>'Бытовая серия'!A188:Q188</f>
        <v>e-mail: Dealer@profcond.com</v>
      </c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3"/>
    </row>
    <row r="50" spans="1:17" ht="13.5" customHeight="1">
      <c r="A50" s="690" t="str">
        <f>'Бытовая серия'!A189:Q189</f>
        <v>компания "АЯК-Москва"</v>
      </c>
      <c r="B50" s="650"/>
      <c r="C50" s="650"/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91"/>
    </row>
    <row r="51" spans="1:17" ht="13.5" customHeight="1">
      <c r="A51" s="690" t="str">
        <f>'Бытовая серия'!A190:Q190</f>
        <v>111020, г. Москва, ул. 2-я Синичкина, д. 9А, Бизнес-центр Синица Плаза</v>
      </c>
      <c r="B51" s="650"/>
      <c r="C51" s="650"/>
      <c r="D51" s="650"/>
      <c r="E51" s="650"/>
      <c r="F51" s="650"/>
      <c r="G51" s="650"/>
      <c r="H51" s="650"/>
      <c r="I51" s="650"/>
      <c r="J51" s="650"/>
      <c r="K51" s="650"/>
      <c r="L51" s="650"/>
      <c r="M51" s="650"/>
      <c r="N51" s="650"/>
      <c r="O51" s="650"/>
      <c r="P51" s="650"/>
      <c r="Q51" s="691"/>
    </row>
    <row r="52" spans="1:17" ht="13.5" customHeight="1" thickBot="1">
      <c r="A52" s="692" t="str">
        <f>'Бытовая серия'!A191:Q191</f>
        <v>Тел./факс: 8-800-23456-05</v>
      </c>
      <c r="B52" s="693"/>
      <c r="C52" s="693"/>
      <c r="D52" s="693"/>
      <c r="E52" s="693"/>
      <c r="F52" s="693"/>
      <c r="G52" s="693"/>
      <c r="H52" s="693"/>
      <c r="I52" s="693"/>
      <c r="J52" s="693"/>
      <c r="K52" s="693"/>
      <c r="L52" s="693"/>
      <c r="M52" s="693"/>
      <c r="N52" s="693"/>
      <c r="O52" s="693"/>
      <c r="P52" s="693"/>
      <c r="Q52" s="694"/>
    </row>
    <row r="53" spans="1:17" s="57" customFormat="1" ht="21" customHeight="1"/>
    <row r="54" spans="1:17" s="57" customFormat="1"/>
    <row r="55" spans="1:17" s="57" customFormat="1" ht="15" customHeight="1"/>
    <row r="56" spans="1:17" s="57" customFormat="1"/>
    <row r="57" spans="1:17" s="57" customFormat="1" ht="15" customHeight="1"/>
    <row r="58" spans="1:17" s="57" customFormat="1"/>
    <row r="59" spans="1:17" s="57" customFormat="1" ht="13.5" customHeight="1"/>
    <row r="60" spans="1:17" s="57" customFormat="1"/>
    <row r="61" spans="1:17" s="57" customFormat="1" ht="13.5" customHeight="1"/>
    <row r="62" spans="1:17" s="57" customFormat="1" ht="15" customHeight="1"/>
    <row r="63" spans="1:17" s="57" customFormat="1"/>
    <row r="64" spans="1:17" s="57" customFormat="1" ht="15" customHeight="1"/>
    <row r="65" s="57" customFormat="1"/>
    <row r="66" s="57" customFormat="1"/>
    <row r="67" s="57" customFormat="1" ht="13.5" customHeight="1"/>
    <row r="68" s="57" customFormat="1" ht="15" customHeight="1"/>
    <row r="69" s="57" customFormat="1"/>
    <row r="70" s="57" customFormat="1" ht="15" customHeight="1"/>
    <row r="71" s="57" customFormat="1"/>
    <row r="72" s="57" customFormat="1" ht="15" customHeight="1"/>
    <row r="73" s="57" customFormat="1"/>
    <row r="74" s="57" customFormat="1" ht="15" customHeight="1"/>
    <row r="75" s="57" customFormat="1"/>
    <row r="76" s="57" customFormat="1"/>
    <row r="77" s="57" customFormat="1"/>
    <row r="78" s="57" customFormat="1" ht="16.5" customHeight="1"/>
    <row r="79" s="57" customFormat="1" ht="16.5" customHeight="1"/>
    <row r="80" s="57" customFormat="1" ht="16.5" customHeight="1"/>
    <row r="81" s="57" customFormat="1" ht="16.5" customHeight="1"/>
    <row r="82" s="57" customFormat="1" ht="16.5" customHeight="1"/>
    <row r="83" s="57" customFormat="1" ht="16.5" customHeight="1"/>
    <row r="84" s="57" customFormat="1" ht="16.5" customHeight="1"/>
    <row r="85" s="57" customFormat="1" ht="16.5" customHeight="1"/>
    <row r="86" s="57" customFormat="1" ht="16.5" customHeight="1"/>
    <row r="87" s="57" customFormat="1" ht="16.5" customHeight="1"/>
    <row r="88" s="57" customFormat="1" ht="16.5" customHeight="1"/>
    <row r="89" s="57" customFormat="1"/>
    <row r="90" s="57" customFormat="1" ht="16.5" customHeight="1"/>
    <row r="91" s="57" customFormat="1" ht="16.5" customHeight="1"/>
    <row r="92" s="57" customFormat="1" ht="16.5" customHeight="1"/>
    <row r="93" s="57" customFormat="1" ht="16.5" customHeight="1"/>
    <row r="94" s="57" customFormat="1" ht="16.5" customHeight="1"/>
    <row r="95" s="57" customFormat="1"/>
    <row r="96" s="57" customFormat="1" ht="12.75" customHeight="1"/>
    <row r="97" s="57" customFormat="1" ht="12.75" customHeight="1"/>
    <row r="98" s="57" customFormat="1"/>
    <row r="99" s="57" customFormat="1" ht="27.75" customHeight="1"/>
    <row r="100" s="57" customFormat="1"/>
    <row r="101" s="57" customFormat="1"/>
    <row r="102" s="57" customFormat="1"/>
    <row r="103" s="57" customFormat="1"/>
    <row r="104" s="57" customFormat="1"/>
    <row r="105" s="57" customFormat="1"/>
    <row r="106" s="57" customFormat="1"/>
    <row r="107" s="57" customFormat="1"/>
    <row r="108" s="57" customFormat="1"/>
    <row r="109" s="57" customFormat="1"/>
    <row r="110" s="57" customFormat="1"/>
    <row r="111" s="57" customFormat="1"/>
    <row r="112" s="57" customFormat="1"/>
    <row r="113" s="57" customFormat="1"/>
    <row r="114" s="57" customFormat="1"/>
    <row r="115" s="57" customFormat="1"/>
    <row r="116" s="57" customFormat="1"/>
    <row r="117" s="57" customFormat="1"/>
    <row r="118" s="57" customFormat="1"/>
    <row r="119" s="57" customFormat="1"/>
    <row r="120" s="57" customFormat="1"/>
    <row r="121" s="57" customFormat="1"/>
    <row r="122" s="57" customFormat="1"/>
    <row r="123" s="57" customFormat="1"/>
    <row r="124" s="57" customFormat="1"/>
    <row r="125" s="57" customFormat="1"/>
    <row r="126" s="57" customFormat="1"/>
    <row r="127" s="57" customFormat="1"/>
    <row r="128" s="57" customFormat="1"/>
    <row r="129" s="57" customFormat="1"/>
    <row r="130" s="57" customFormat="1"/>
    <row r="131" s="57" customFormat="1"/>
    <row r="132" s="57" customFormat="1"/>
    <row r="133" s="57" customFormat="1"/>
    <row r="134" s="57" customFormat="1"/>
    <row r="135" s="57" customFormat="1"/>
    <row r="136" s="57" customFormat="1"/>
    <row r="137" s="57" customFormat="1"/>
    <row r="138" s="57" customFormat="1"/>
    <row r="139" s="57" customFormat="1"/>
    <row r="140" s="57" customFormat="1"/>
    <row r="141" s="57" customFormat="1"/>
    <row r="142" s="57" customFormat="1"/>
    <row r="143" s="57" customFormat="1"/>
    <row r="144" s="57" customFormat="1"/>
    <row r="145" s="57" customFormat="1"/>
    <row r="146" s="57" customFormat="1"/>
    <row r="147" s="57" customFormat="1"/>
    <row r="148" s="57" customFormat="1"/>
    <row r="149" s="57" customFormat="1"/>
    <row r="150" s="57" customFormat="1"/>
    <row r="151" s="57" customFormat="1"/>
    <row r="152" s="57" customFormat="1"/>
    <row r="153" s="57" customFormat="1"/>
    <row r="154" s="57" customFormat="1"/>
    <row r="155" s="57" customFormat="1"/>
    <row r="156" s="57" customFormat="1"/>
    <row r="157" s="57" customFormat="1"/>
    <row r="158" s="57" customFormat="1"/>
    <row r="159" s="57" customFormat="1"/>
    <row r="160" s="57" customFormat="1"/>
    <row r="161" s="57" customFormat="1"/>
    <row r="162" s="57" customFormat="1"/>
    <row r="163" s="57" customFormat="1"/>
    <row r="164" s="57" customFormat="1"/>
    <row r="165" s="57" customFormat="1"/>
    <row r="166" s="57" customFormat="1"/>
    <row r="167" s="57" customFormat="1"/>
    <row r="168" s="57" customFormat="1"/>
  </sheetData>
  <customSheetViews>
    <customSheetView guid="{FA833650-9147-48FF-9246-B3943D91CD8D}" scale="70" showPageBreaks="1" printArea="1" hiddenColumns="1" view="pageBreakPreview">
      <pane ySplit="7" topLeftCell="A8" activePane="bottomLeft" state="frozen"/>
      <selection pane="bottomLeft" activeCell="V15" sqref="V15"/>
      <pageMargins left="0.25" right="0.25" top="0.75" bottom="0.75" header="0.3" footer="0.3"/>
      <pageSetup paperSize="9" scale="44" fitToHeight="10" orientation="portrait" r:id="rId1"/>
      <headerFooter alignWithMargins="0"/>
    </customSheetView>
  </customSheetViews>
  <mergeCells count="137">
    <mergeCell ref="O33:P33"/>
    <mergeCell ref="E32:G32"/>
    <mergeCell ref="O34:P34"/>
    <mergeCell ref="E45:G45"/>
    <mergeCell ref="B31:D31"/>
    <mergeCell ref="E31:G31"/>
    <mergeCell ref="B32:D32"/>
    <mergeCell ref="B33:D33"/>
    <mergeCell ref="E33:G33"/>
    <mergeCell ref="E34:G34"/>
    <mergeCell ref="B35:D35"/>
    <mergeCell ref="E35:G35"/>
    <mergeCell ref="B36:D36"/>
    <mergeCell ref="E36:G36"/>
    <mergeCell ref="B40:D40"/>
    <mergeCell ref="E37:G40"/>
    <mergeCell ref="O41:P41"/>
    <mergeCell ref="B42:D42"/>
    <mergeCell ref="O42:P42"/>
    <mergeCell ref="B43:D43"/>
    <mergeCell ref="O43:P43"/>
    <mergeCell ref="O35:P35"/>
    <mergeCell ref="O36:P36"/>
    <mergeCell ref="O37:P37"/>
    <mergeCell ref="B38:D38"/>
    <mergeCell ref="O38:P38"/>
    <mergeCell ref="B39:D39"/>
    <mergeCell ref="O39:P39"/>
    <mergeCell ref="B41:D41"/>
    <mergeCell ref="E41:G41"/>
    <mergeCell ref="E42:G42"/>
    <mergeCell ref="E43:G43"/>
    <mergeCell ref="O40:P40"/>
    <mergeCell ref="O3:P3"/>
    <mergeCell ref="F19:F20"/>
    <mergeCell ref="G15:G16"/>
    <mergeCell ref="A7:M7"/>
    <mergeCell ref="A8:Q8"/>
    <mergeCell ref="A9:A10"/>
    <mergeCell ref="C9:C10"/>
    <mergeCell ref="D9:D10"/>
    <mergeCell ref="E9:E10"/>
    <mergeCell ref="L9:L10"/>
    <mergeCell ref="F9:F10"/>
    <mergeCell ref="G9:G10"/>
    <mergeCell ref="A13:M13"/>
    <mergeCell ref="A14:Q14"/>
    <mergeCell ref="A19:A20"/>
    <mergeCell ref="A5:A6"/>
    <mergeCell ref="O5:O6"/>
    <mergeCell ref="N5:N6"/>
    <mergeCell ref="Q5:Q6"/>
    <mergeCell ref="E5:F5"/>
    <mergeCell ref="H3:J3"/>
    <mergeCell ref="L3:M3"/>
    <mergeCell ref="L5:L6"/>
    <mergeCell ref="P5:P6"/>
    <mergeCell ref="K5:K6"/>
    <mergeCell ref="C5:D5"/>
    <mergeCell ref="M5:M6"/>
    <mergeCell ref="J5:J6"/>
    <mergeCell ref="G21:G22"/>
    <mergeCell ref="G11:G12"/>
    <mergeCell ref="I5:I6"/>
    <mergeCell ref="I9:I10"/>
    <mergeCell ref="I11:I12"/>
    <mergeCell ref="I15:I16"/>
    <mergeCell ref="I17:I18"/>
    <mergeCell ref="I19:I20"/>
    <mergeCell ref="I21:I22"/>
    <mergeCell ref="H5:H6"/>
    <mergeCell ref="L15:L16"/>
    <mergeCell ref="L11:L12"/>
    <mergeCell ref="F17:F18"/>
    <mergeCell ref="G5:G6"/>
    <mergeCell ref="F23:F24"/>
    <mergeCell ref="G23:G24"/>
    <mergeCell ref="D23:D24"/>
    <mergeCell ref="L17:L18"/>
    <mergeCell ref="E23:E24"/>
    <mergeCell ref="L21:L22"/>
    <mergeCell ref="D21:D22"/>
    <mergeCell ref="E21:E22"/>
    <mergeCell ref="F21:F22"/>
    <mergeCell ref="G19:G20"/>
    <mergeCell ref="L19:L20"/>
    <mergeCell ref="G17:G18"/>
    <mergeCell ref="I23:I24"/>
    <mergeCell ref="L23:L24"/>
    <mergeCell ref="I25:I26"/>
    <mergeCell ref="O45:P45"/>
    <mergeCell ref="A52:Q52"/>
    <mergeCell ref="A50:Q50"/>
    <mergeCell ref="A51:Q51"/>
    <mergeCell ref="A47:Q47"/>
    <mergeCell ref="A48:Q48"/>
    <mergeCell ref="A49:Q49"/>
    <mergeCell ref="B37:D37"/>
    <mergeCell ref="A25:A26"/>
    <mergeCell ref="B30:D30"/>
    <mergeCell ref="E30:G30"/>
    <mergeCell ref="C25:C26"/>
    <mergeCell ref="D25:D26"/>
    <mergeCell ref="E25:E26"/>
    <mergeCell ref="F25:F26"/>
    <mergeCell ref="G25:G26"/>
    <mergeCell ref="O44:P44"/>
    <mergeCell ref="O31:P31"/>
    <mergeCell ref="A29:M29"/>
    <mergeCell ref="B45:D45"/>
    <mergeCell ref="L25:L26"/>
    <mergeCell ref="O32:P32"/>
    <mergeCell ref="O30:P30"/>
    <mergeCell ref="A21:A22"/>
    <mergeCell ref="D15:D16"/>
    <mergeCell ref="A11:A12"/>
    <mergeCell ref="C11:C12"/>
    <mergeCell ref="D11:D12"/>
    <mergeCell ref="D17:D18"/>
    <mergeCell ref="E17:E18"/>
    <mergeCell ref="B34:D34"/>
    <mergeCell ref="B44:D44"/>
    <mergeCell ref="A23:A24"/>
    <mergeCell ref="C23:C24"/>
    <mergeCell ref="C21:C22"/>
    <mergeCell ref="E44:G44"/>
    <mergeCell ref="A17:A18"/>
    <mergeCell ref="C17:C18"/>
    <mergeCell ref="C19:C20"/>
    <mergeCell ref="D19:D20"/>
    <mergeCell ref="E19:E20"/>
    <mergeCell ref="A15:A16"/>
    <mergeCell ref="C15:C16"/>
    <mergeCell ref="E11:E12"/>
    <mergeCell ref="F11:F12"/>
    <mergeCell ref="E15:E16"/>
    <mergeCell ref="F15:F16"/>
  </mergeCells>
  <phoneticPr fontId="5" type="noConversion"/>
  <conditionalFormatting sqref="A47:A65521 A9:A12 A4:A7 A15:A29">
    <cfRule type="duplicateValues" dxfId="80" priority="77" stopIfTrue="1"/>
  </conditionalFormatting>
  <conditionalFormatting sqref="A13">
    <cfRule type="duplicateValues" dxfId="79" priority="65" stopIfTrue="1"/>
  </conditionalFormatting>
  <conditionalFormatting sqref="A30">
    <cfRule type="duplicateValues" dxfId="78" priority="63" stopIfTrue="1"/>
    <cfRule type="duplicateValues" dxfId="77" priority="64" stopIfTrue="1"/>
  </conditionalFormatting>
  <conditionalFormatting sqref="A42">
    <cfRule type="duplicateValues" dxfId="76" priority="34" stopIfTrue="1"/>
  </conditionalFormatting>
  <conditionalFormatting sqref="A41">
    <cfRule type="duplicateValues" dxfId="75" priority="36" stopIfTrue="1"/>
  </conditionalFormatting>
  <conditionalFormatting sqref="A34">
    <cfRule type="duplicateValues" dxfId="74" priority="33" stopIfTrue="1"/>
  </conditionalFormatting>
  <conditionalFormatting sqref="A45">
    <cfRule type="duplicateValues" dxfId="73" priority="37" stopIfTrue="1"/>
  </conditionalFormatting>
  <conditionalFormatting sqref="A45 A34 A41:A42">
    <cfRule type="duplicateValues" dxfId="72" priority="32" stopIfTrue="1"/>
  </conditionalFormatting>
  <conditionalFormatting sqref="A31">
    <cfRule type="duplicateValues" dxfId="71" priority="29" stopIfTrue="1"/>
    <cfRule type="duplicateValues" dxfId="70" priority="30" stopIfTrue="1"/>
  </conditionalFormatting>
  <conditionalFormatting sqref="A31">
    <cfRule type="duplicateValues" dxfId="69" priority="31" stopIfTrue="1"/>
  </conditionalFormatting>
  <conditionalFormatting sqref="A32">
    <cfRule type="duplicateValues" dxfId="68" priority="28" stopIfTrue="1"/>
  </conditionalFormatting>
  <conditionalFormatting sqref="A32">
    <cfRule type="duplicateValues" dxfId="67" priority="26" stopIfTrue="1"/>
    <cfRule type="duplicateValues" dxfId="66" priority="27" stopIfTrue="1"/>
  </conditionalFormatting>
  <conditionalFormatting sqref="A33">
    <cfRule type="duplicateValues" dxfId="65" priority="25" stopIfTrue="1"/>
  </conditionalFormatting>
  <conditionalFormatting sqref="A43">
    <cfRule type="duplicateValues" dxfId="64" priority="23" stopIfTrue="1"/>
  </conditionalFormatting>
  <conditionalFormatting sqref="A43">
    <cfRule type="duplicateValues" dxfId="63" priority="24" stopIfTrue="1"/>
  </conditionalFormatting>
  <conditionalFormatting sqref="A44">
    <cfRule type="duplicateValues" dxfId="62" priority="21" stopIfTrue="1"/>
  </conditionalFormatting>
  <conditionalFormatting sqref="A44">
    <cfRule type="duplicateValues" dxfId="61" priority="22" stopIfTrue="1"/>
  </conditionalFormatting>
  <conditionalFormatting sqref="A35:A39">
    <cfRule type="duplicateValues" dxfId="60" priority="38" stopIfTrue="1"/>
  </conditionalFormatting>
  <conditionalFormatting sqref="A35:A39">
    <cfRule type="duplicateValues" dxfId="59" priority="39" stopIfTrue="1"/>
  </conditionalFormatting>
  <conditionalFormatting sqref="A40">
    <cfRule type="duplicateValues" dxfId="58" priority="1" stopIfTrue="1"/>
  </conditionalFormatting>
  <hyperlinks>
    <hyperlink ref="A47" r:id="rId2" display="www.general-russia.ru"/>
  </hyperlinks>
  <pageMargins left="0.25" right="0.25" top="0.75" bottom="0.75" header="0.3" footer="0.3"/>
  <pageSetup paperSize="9" scale="43" fitToHeight="1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35"/>
  <sheetViews>
    <sheetView zoomScale="75" zoomScaleNormal="75" zoomScaleSheetLayoutView="70" workbookViewId="0">
      <pane ySplit="7" topLeftCell="A8" activePane="bottomLeft" state="frozen"/>
      <selection pane="bottomLeft" activeCell="G79" sqref="G79"/>
    </sheetView>
  </sheetViews>
  <sheetFormatPr defaultColWidth="9.08984375" defaultRowHeight="12.5"/>
  <cols>
    <col min="1" max="1" width="23.08984375" style="7" customWidth="1"/>
    <col min="2" max="2" width="25.36328125" style="7" customWidth="1"/>
    <col min="3" max="4" width="8.54296875" style="7" customWidth="1"/>
    <col min="5" max="5" width="21.54296875" style="7" customWidth="1"/>
    <col min="6" max="6" width="16.54296875" style="7" customWidth="1"/>
    <col min="7" max="7" width="17.54296875" style="7" customWidth="1"/>
    <col min="8" max="8" width="8.08984375" style="7" customWidth="1"/>
    <col min="9" max="9" width="8.36328125" style="7" customWidth="1"/>
    <col min="10" max="10" width="12.6328125" style="7" customWidth="1"/>
    <col min="11" max="11" width="12.453125" style="7" customWidth="1"/>
    <col min="12" max="12" width="9.54296875" style="7" customWidth="1"/>
    <col min="13" max="13" width="21.36328125" style="7" customWidth="1"/>
    <col min="14" max="14" width="8.36328125" style="7" customWidth="1"/>
    <col min="15" max="15" width="10.36328125" style="7" customWidth="1"/>
    <col min="16" max="16" width="2.81640625" style="57" customWidth="1"/>
    <col min="17" max="17" width="9.08984375" style="57" customWidth="1"/>
    <col min="18" max="18" width="5.90625" style="57" customWidth="1"/>
    <col min="19" max="20" width="1.453125" style="57" customWidth="1"/>
    <col min="21" max="21" width="8.54296875" style="57" customWidth="1"/>
    <col min="22" max="52" width="9.08984375" style="57" customWidth="1"/>
    <col min="53" max="16384" width="9.08984375" style="7"/>
  </cols>
  <sheetData>
    <row r="1" spans="1:52" ht="53.25" customHeight="1">
      <c r="A1" s="385"/>
      <c r="B1" s="386"/>
      <c r="C1" s="387"/>
      <c r="D1" s="386"/>
      <c r="E1" s="388"/>
      <c r="F1" s="386"/>
      <c r="G1" s="386"/>
      <c r="H1" s="389"/>
      <c r="I1" s="386"/>
      <c r="J1" s="386"/>
      <c r="K1" s="390"/>
      <c r="L1" s="390"/>
      <c r="M1" s="417"/>
      <c r="N1" s="391" t="s">
        <v>513</v>
      </c>
      <c r="O1" s="418"/>
      <c r="AY1" s="7"/>
      <c r="AZ1" s="7"/>
    </row>
    <row r="2" spans="1:52" ht="15.75" customHeight="1" thickBot="1">
      <c r="A2" s="393"/>
      <c r="B2" s="203"/>
      <c r="C2" s="204"/>
      <c r="D2" s="203"/>
      <c r="E2" s="209"/>
      <c r="F2" s="203"/>
      <c r="G2" s="203"/>
      <c r="H2" s="210"/>
      <c r="I2" s="203"/>
      <c r="J2" s="203"/>
      <c r="K2" s="732"/>
      <c r="L2" s="732"/>
      <c r="M2" s="732"/>
      <c r="N2" s="732"/>
      <c r="O2" s="419"/>
      <c r="AY2" s="7"/>
      <c r="AZ2" s="7"/>
    </row>
    <row r="3" spans="1:52" ht="18.75" customHeight="1" thickBot="1">
      <c r="A3" s="395"/>
      <c r="B3" s="70"/>
      <c r="C3" s="327" t="s">
        <v>1289</v>
      </c>
      <c r="D3" s="131">
        <v>0.35</v>
      </c>
      <c r="E3" s="70"/>
      <c r="F3" s="133" t="s">
        <v>480</v>
      </c>
      <c r="G3" s="347"/>
      <c r="H3" s="348"/>
      <c r="I3" s="322">
        <f>SUM(L10:L65)</f>
        <v>0</v>
      </c>
      <c r="J3" s="738" t="s">
        <v>900</v>
      </c>
      <c r="K3" s="687"/>
      <c r="L3" s="134">
        <f>SUMPRODUCT(H10:H65,N10:N65)</f>
        <v>0</v>
      </c>
      <c r="M3" s="736" t="s">
        <v>478</v>
      </c>
      <c r="N3" s="737"/>
      <c r="O3" s="396">
        <f>SUMPRODUCT(H10:H65,O10:O65)</f>
        <v>0</v>
      </c>
      <c r="AY3" s="7"/>
      <c r="AZ3" s="7"/>
    </row>
    <row r="4" spans="1:52" ht="14.25" customHeight="1">
      <c r="A4" s="420"/>
      <c r="B4" s="117"/>
      <c r="C4" s="118"/>
      <c r="D4" s="118"/>
      <c r="E4" s="118"/>
      <c r="F4" s="118"/>
      <c r="G4" s="118"/>
      <c r="H4" s="118"/>
      <c r="I4" s="750"/>
      <c r="J4" s="750"/>
      <c r="K4" s="750"/>
      <c r="L4" s="750"/>
      <c r="M4" s="750"/>
      <c r="N4" s="750"/>
      <c r="O4" s="751"/>
    </row>
    <row r="5" spans="1:52" ht="25.25" customHeight="1">
      <c r="A5" s="745" t="s">
        <v>47</v>
      </c>
      <c r="B5" s="558" t="s">
        <v>161</v>
      </c>
      <c r="C5" s="755" t="s">
        <v>48</v>
      </c>
      <c r="D5" s="756"/>
      <c r="E5" s="742" t="s">
        <v>492</v>
      </c>
      <c r="F5" s="739" t="s">
        <v>493</v>
      </c>
      <c r="G5" s="759" t="s">
        <v>740</v>
      </c>
      <c r="H5" s="581" t="s">
        <v>28</v>
      </c>
      <c r="I5" s="562" t="s">
        <v>22</v>
      </c>
      <c r="J5" s="560" t="s">
        <v>490</v>
      </c>
      <c r="K5" s="574" t="s">
        <v>491</v>
      </c>
      <c r="L5" s="560" t="s">
        <v>27</v>
      </c>
      <c r="M5" s="733" t="s">
        <v>318</v>
      </c>
      <c r="N5" s="733" t="s">
        <v>23</v>
      </c>
      <c r="O5" s="752" t="s">
        <v>24</v>
      </c>
    </row>
    <row r="6" spans="1:52" ht="25.25" customHeight="1">
      <c r="A6" s="746"/>
      <c r="B6" s="757"/>
      <c r="C6" s="748" t="s">
        <v>49</v>
      </c>
      <c r="D6" s="748" t="s">
        <v>50</v>
      </c>
      <c r="E6" s="743"/>
      <c r="F6" s="740"/>
      <c r="G6" s="760"/>
      <c r="H6" s="768"/>
      <c r="I6" s="762"/>
      <c r="J6" s="764"/>
      <c r="K6" s="766"/>
      <c r="L6" s="764"/>
      <c r="M6" s="734"/>
      <c r="N6" s="734"/>
      <c r="O6" s="753"/>
    </row>
    <row r="7" spans="1:52" ht="21.75" customHeight="1">
      <c r="A7" s="747"/>
      <c r="B7" s="758"/>
      <c r="C7" s="749"/>
      <c r="D7" s="749"/>
      <c r="E7" s="744"/>
      <c r="F7" s="741"/>
      <c r="G7" s="761"/>
      <c r="H7" s="769"/>
      <c r="I7" s="763"/>
      <c r="J7" s="765"/>
      <c r="K7" s="767"/>
      <c r="L7" s="765"/>
      <c r="M7" s="735"/>
      <c r="N7" s="735"/>
      <c r="O7" s="754"/>
    </row>
    <row r="8" spans="1:52" ht="30" customHeight="1">
      <c r="A8" s="688" t="s">
        <v>162</v>
      </c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149"/>
      <c r="M8" s="217"/>
      <c r="N8" s="150"/>
      <c r="O8" s="399"/>
    </row>
    <row r="9" spans="1:52" ht="39" customHeight="1">
      <c r="A9" s="606" t="s">
        <v>163</v>
      </c>
      <c r="B9" s="607"/>
      <c r="C9" s="607"/>
      <c r="D9" s="607"/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8"/>
    </row>
    <row r="10" spans="1:52" s="66" customFormat="1" ht="18.75" customHeight="1">
      <c r="A10" s="421" t="s">
        <v>195</v>
      </c>
      <c r="B10" s="218"/>
      <c r="C10" s="219">
        <v>10</v>
      </c>
      <c r="D10" s="220">
        <v>11.2</v>
      </c>
      <c r="E10" s="221"/>
      <c r="F10" s="350">
        <v>2276</v>
      </c>
      <c r="G10" s="222">
        <v>153900</v>
      </c>
      <c r="H10" s="223"/>
      <c r="I10" s="145">
        <f t="shared" ref="I10:I17" si="0">$D$3</f>
        <v>0.35</v>
      </c>
      <c r="J10" s="340"/>
      <c r="K10" s="350">
        <f t="shared" ref="K10:K17" si="1">SUM(F10-(F10*I10))</f>
        <v>1479.4</v>
      </c>
      <c r="L10" s="331">
        <f t="shared" ref="L10:L17" si="2">H10*K10</f>
        <v>0</v>
      </c>
      <c r="M10" s="224" t="s">
        <v>343</v>
      </c>
      <c r="N10" s="336">
        <f t="shared" ref="N10:N17" si="3">1.43*1.05*0.445</f>
        <v>0.66816750000000003</v>
      </c>
      <c r="O10" s="367">
        <v>117</v>
      </c>
      <c r="P10" s="64"/>
      <c r="Q10" s="64"/>
      <c r="R10" s="64"/>
      <c r="S10" s="92"/>
      <c r="T10" s="92"/>
      <c r="U10" s="92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</row>
    <row r="11" spans="1:52" s="66" customFormat="1" ht="18.75" customHeight="1">
      <c r="A11" s="421" t="s">
        <v>1408</v>
      </c>
      <c r="B11" s="218"/>
      <c r="C11" s="219">
        <v>12.5</v>
      </c>
      <c r="D11" s="220">
        <v>14</v>
      </c>
      <c r="E11" s="221"/>
      <c r="F11" s="350">
        <v>2760</v>
      </c>
      <c r="G11" s="222">
        <v>186600</v>
      </c>
      <c r="H11" s="223"/>
      <c r="I11" s="145">
        <f t="shared" si="0"/>
        <v>0.35</v>
      </c>
      <c r="J11" s="340"/>
      <c r="K11" s="350">
        <f t="shared" si="1"/>
        <v>1794</v>
      </c>
      <c r="L11" s="331">
        <f t="shared" si="2"/>
        <v>0</v>
      </c>
      <c r="M11" s="224" t="s">
        <v>343</v>
      </c>
      <c r="N11" s="336">
        <f t="shared" si="3"/>
        <v>0.66816750000000003</v>
      </c>
      <c r="O11" s="367">
        <v>117</v>
      </c>
      <c r="P11" s="64"/>
      <c r="Q11" s="64"/>
      <c r="R11" s="64"/>
      <c r="S11" s="92"/>
      <c r="T11" s="92"/>
      <c r="U11" s="92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</row>
    <row r="12" spans="1:52" s="66" customFormat="1" ht="18.75" customHeight="1">
      <c r="A12" s="421" t="s">
        <v>196</v>
      </c>
      <c r="B12" s="218"/>
      <c r="C12" s="219">
        <v>14</v>
      </c>
      <c r="D12" s="220">
        <v>16</v>
      </c>
      <c r="E12" s="221"/>
      <c r="F12" s="350">
        <v>3100</v>
      </c>
      <c r="G12" s="222">
        <v>209600</v>
      </c>
      <c r="H12" s="223"/>
      <c r="I12" s="145">
        <f t="shared" si="0"/>
        <v>0.35</v>
      </c>
      <c r="J12" s="340"/>
      <c r="K12" s="350">
        <f t="shared" si="1"/>
        <v>2015</v>
      </c>
      <c r="L12" s="331">
        <f t="shared" si="2"/>
        <v>0</v>
      </c>
      <c r="M12" s="224" t="s">
        <v>343</v>
      </c>
      <c r="N12" s="336">
        <f t="shared" si="3"/>
        <v>0.66816750000000003</v>
      </c>
      <c r="O12" s="367">
        <v>117</v>
      </c>
      <c r="P12" s="64"/>
      <c r="Q12" s="64"/>
      <c r="R12" s="64"/>
      <c r="S12" s="92"/>
      <c r="T12" s="92"/>
      <c r="U12" s="92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</row>
    <row r="13" spans="1:52" s="66" customFormat="1" ht="18.75" customHeight="1">
      <c r="A13" s="421" t="s">
        <v>702</v>
      </c>
      <c r="B13" s="218"/>
      <c r="C13" s="219">
        <v>10</v>
      </c>
      <c r="D13" s="220">
        <v>11.2</v>
      </c>
      <c r="E13" s="221"/>
      <c r="F13" s="350">
        <v>2894</v>
      </c>
      <c r="G13" s="222">
        <v>195700</v>
      </c>
      <c r="H13" s="223"/>
      <c r="I13" s="145">
        <f t="shared" si="0"/>
        <v>0.35</v>
      </c>
      <c r="J13" s="340"/>
      <c r="K13" s="350">
        <f t="shared" si="1"/>
        <v>1881.1</v>
      </c>
      <c r="L13" s="331">
        <f t="shared" si="2"/>
        <v>0</v>
      </c>
      <c r="M13" s="224" t="s">
        <v>343</v>
      </c>
      <c r="N13" s="336">
        <f t="shared" si="3"/>
        <v>0.66816750000000003</v>
      </c>
      <c r="O13" s="367">
        <v>117</v>
      </c>
      <c r="P13" s="64"/>
      <c r="Q13" s="64"/>
      <c r="R13" s="64"/>
      <c r="S13" s="92"/>
      <c r="T13" s="92"/>
      <c r="U13" s="92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</row>
    <row r="14" spans="1:52" s="66" customFormat="1" ht="18.75" customHeight="1">
      <c r="A14" s="421" t="s">
        <v>703</v>
      </c>
      <c r="B14" s="218"/>
      <c r="C14" s="219">
        <v>12.5</v>
      </c>
      <c r="D14" s="220">
        <v>14</v>
      </c>
      <c r="E14" s="221"/>
      <c r="F14" s="350">
        <v>3178</v>
      </c>
      <c r="G14" s="222">
        <v>214900</v>
      </c>
      <c r="H14" s="223"/>
      <c r="I14" s="145">
        <f t="shared" si="0"/>
        <v>0.35</v>
      </c>
      <c r="J14" s="340"/>
      <c r="K14" s="350">
        <f t="shared" si="1"/>
        <v>2065.6999999999998</v>
      </c>
      <c r="L14" s="331">
        <f t="shared" si="2"/>
        <v>0</v>
      </c>
      <c r="M14" s="224" t="s">
        <v>343</v>
      </c>
      <c r="N14" s="336">
        <f t="shared" si="3"/>
        <v>0.66816750000000003</v>
      </c>
      <c r="O14" s="367">
        <v>117</v>
      </c>
      <c r="P14" s="64"/>
      <c r="Q14" s="64"/>
      <c r="R14" s="64"/>
      <c r="S14" s="92"/>
      <c r="T14" s="92"/>
      <c r="U14" s="92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</row>
    <row r="15" spans="1:52" s="66" customFormat="1" ht="18.75" customHeight="1">
      <c r="A15" s="421" t="s">
        <v>704</v>
      </c>
      <c r="B15" s="218"/>
      <c r="C15" s="219">
        <v>14</v>
      </c>
      <c r="D15" s="220">
        <v>16</v>
      </c>
      <c r="E15" s="221"/>
      <c r="F15" s="350">
        <v>3474</v>
      </c>
      <c r="G15" s="222">
        <v>234900</v>
      </c>
      <c r="H15" s="223"/>
      <c r="I15" s="145">
        <f t="shared" si="0"/>
        <v>0.35</v>
      </c>
      <c r="J15" s="340"/>
      <c r="K15" s="350">
        <f t="shared" si="1"/>
        <v>2258.1000000000004</v>
      </c>
      <c r="L15" s="331">
        <f t="shared" si="2"/>
        <v>0</v>
      </c>
      <c r="M15" s="224" t="s">
        <v>343</v>
      </c>
      <c r="N15" s="336">
        <f t="shared" si="3"/>
        <v>0.66816750000000003</v>
      </c>
      <c r="O15" s="367">
        <v>117</v>
      </c>
      <c r="P15" s="64"/>
      <c r="Q15" s="64"/>
      <c r="R15" s="64"/>
      <c r="S15" s="92"/>
      <c r="T15" s="92"/>
      <c r="U15" s="92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</row>
    <row r="16" spans="1:52" s="66" customFormat="1" ht="18.75" customHeight="1">
      <c r="A16" s="421" t="s">
        <v>1409</v>
      </c>
      <c r="B16" s="218"/>
      <c r="C16" s="219">
        <v>19</v>
      </c>
      <c r="D16" s="220">
        <v>22.4</v>
      </c>
      <c r="E16" s="221"/>
      <c r="F16" s="350">
        <v>3902</v>
      </c>
      <c r="G16" s="222">
        <v>263800</v>
      </c>
      <c r="H16" s="223"/>
      <c r="I16" s="145">
        <f t="shared" si="0"/>
        <v>0.35</v>
      </c>
      <c r="J16" s="340"/>
      <c r="K16" s="350">
        <f t="shared" si="1"/>
        <v>2536.3000000000002</v>
      </c>
      <c r="L16" s="331">
        <f t="shared" si="2"/>
        <v>0</v>
      </c>
      <c r="M16" s="224" t="s">
        <v>343</v>
      </c>
      <c r="N16" s="336">
        <f t="shared" si="3"/>
        <v>0.66816750000000003</v>
      </c>
      <c r="O16" s="367">
        <v>117</v>
      </c>
      <c r="P16" s="64"/>
      <c r="Q16" s="64"/>
      <c r="R16" s="64"/>
      <c r="S16" s="92"/>
      <c r="T16" s="92"/>
      <c r="U16" s="92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</row>
    <row r="17" spans="1:52" s="66" customFormat="1" ht="18.75" customHeight="1">
      <c r="A17" s="421" t="s">
        <v>667</v>
      </c>
      <c r="B17" s="218"/>
      <c r="C17" s="219">
        <v>22</v>
      </c>
      <c r="D17" s="220">
        <v>27</v>
      </c>
      <c r="E17" s="221"/>
      <c r="F17" s="350">
        <v>4127</v>
      </c>
      <c r="G17" s="222">
        <v>279000</v>
      </c>
      <c r="H17" s="223"/>
      <c r="I17" s="145">
        <f t="shared" si="0"/>
        <v>0.35</v>
      </c>
      <c r="J17" s="340"/>
      <c r="K17" s="350">
        <f t="shared" si="1"/>
        <v>2682.55</v>
      </c>
      <c r="L17" s="331">
        <f t="shared" si="2"/>
        <v>0</v>
      </c>
      <c r="M17" s="224" t="s">
        <v>343</v>
      </c>
      <c r="N17" s="336">
        <f t="shared" si="3"/>
        <v>0.66816750000000003</v>
      </c>
      <c r="O17" s="367">
        <v>117</v>
      </c>
      <c r="P17" s="64"/>
      <c r="Q17" s="64"/>
      <c r="R17" s="64"/>
      <c r="S17" s="92"/>
      <c r="T17" s="92"/>
      <c r="U17" s="92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</row>
    <row r="18" spans="1:52" ht="42" customHeight="1">
      <c r="A18" s="688" t="s">
        <v>54</v>
      </c>
      <c r="B18" s="689"/>
      <c r="C18" s="689"/>
      <c r="D18" s="689"/>
      <c r="E18" s="689"/>
      <c r="F18" s="689"/>
      <c r="G18" s="689"/>
      <c r="H18" s="689"/>
      <c r="I18" s="689"/>
      <c r="J18" s="689"/>
      <c r="K18" s="689"/>
      <c r="L18" s="689"/>
      <c r="M18" s="689"/>
      <c r="N18" s="689"/>
      <c r="O18" s="719"/>
      <c r="S18" s="92"/>
      <c r="T18" s="92"/>
      <c r="U18" s="92"/>
    </row>
    <row r="19" spans="1:52" ht="30" customHeight="1">
      <c r="A19" s="606" t="s">
        <v>159</v>
      </c>
      <c r="B19" s="607"/>
      <c r="C19" s="607"/>
      <c r="D19" s="607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08"/>
      <c r="S19" s="92"/>
      <c r="T19" s="92"/>
      <c r="U19" s="92"/>
    </row>
    <row r="20" spans="1:52" ht="13.75" customHeight="1">
      <c r="A20" s="772" t="s">
        <v>197</v>
      </c>
      <c r="B20" s="135" t="s">
        <v>65</v>
      </c>
      <c r="C20" s="721">
        <v>5.2</v>
      </c>
      <c r="D20" s="721">
        <v>6</v>
      </c>
      <c r="E20" s="726">
        <f>F20+F21</f>
        <v>1309</v>
      </c>
      <c r="F20" s="350">
        <v>1226</v>
      </c>
      <c r="G20" s="222">
        <v>82900</v>
      </c>
      <c r="H20" s="223"/>
      <c r="I20" s="145">
        <f t="shared" ref="I20:I31" si="4">$D$3</f>
        <v>0.35</v>
      </c>
      <c r="J20" s="673">
        <f>SUM(E20-(E20*I20))</f>
        <v>850.85</v>
      </c>
      <c r="K20" s="350">
        <f t="shared" ref="K20:K31" si="5">SUM(F20-(F20*I20))</f>
        <v>796.90000000000009</v>
      </c>
      <c r="L20" s="358">
        <f t="shared" ref="L20:L31" si="6">H20*K20</f>
        <v>0</v>
      </c>
      <c r="M20" s="338" t="s">
        <v>339</v>
      </c>
      <c r="N20" s="142">
        <v>0.121</v>
      </c>
      <c r="O20" s="367">
        <v>18</v>
      </c>
      <c r="R20" s="64"/>
      <c r="S20" s="92"/>
      <c r="T20" s="92"/>
      <c r="U20" s="92"/>
      <c r="V20" s="64"/>
    </row>
    <row r="21" spans="1:52" s="66" customFormat="1" ht="13.75" customHeight="1">
      <c r="A21" s="773"/>
      <c r="B21" s="135" t="s">
        <v>1271</v>
      </c>
      <c r="C21" s="722"/>
      <c r="D21" s="722"/>
      <c r="E21" s="727"/>
      <c r="F21" s="350">
        <v>83</v>
      </c>
      <c r="G21" s="222">
        <v>5700</v>
      </c>
      <c r="H21" s="223"/>
      <c r="I21" s="145">
        <f t="shared" si="4"/>
        <v>0.35</v>
      </c>
      <c r="J21" s="674"/>
      <c r="K21" s="350">
        <f t="shared" si="5"/>
        <v>53.95</v>
      </c>
      <c r="L21" s="358">
        <f t="shared" si="6"/>
        <v>0</v>
      </c>
      <c r="M21" s="338" t="s">
        <v>340</v>
      </c>
      <c r="N21" s="336">
        <v>6.9000000000000006E-2</v>
      </c>
      <c r="O21" s="367">
        <v>4.5</v>
      </c>
      <c r="P21" s="64"/>
      <c r="Q21" s="64"/>
      <c r="R21" s="64"/>
      <c r="S21" s="92"/>
      <c r="T21" s="92"/>
      <c r="U21" s="92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</row>
    <row r="22" spans="1:52" s="66" customFormat="1" ht="13.75" customHeight="1">
      <c r="A22" s="772" t="s">
        <v>1407</v>
      </c>
      <c r="B22" s="135" t="s">
        <v>198</v>
      </c>
      <c r="C22" s="658">
        <v>6.25</v>
      </c>
      <c r="D22" s="770">
        <v>7</v>
      </c>
      <c r="E22" s="726">
        <f>F22+F23</f>
        <v>1738</v>
      </c>
      <c r="F22" s="350">
        <v>1655</v>
      </c>
      <c r="G22" s="222">
        <v>111900</v>
      </c>
      <c r="H22" s="223"/>
      <c r="I22" s="145">
        <f t="shared" si="4"/>
        <v>0.35</v>
      </c>
      <c r="J22" s="673">
        <f>SUM(E22-(E22*I22))</f>
        <v>1129.7</v>
      </c>
      <c r="K22" s="350">
        <f t="shared" si="5"/>
        <v>1075.75</v>
      </c>
      <c r="L22" s="358">
        <f t="shared" si="6"/>
        <v>0</v>
      </c>
      <c r="M22" s="338" t="s">
        <v>339</v>
      </c>
      <c r="N22" s="336">
        <v>0.12</v>
      </c>
      <c r="O22" s="367">
        <v>20</v>
      </c>
      <c r="P22" s="64"/>
      <c r="Q22" s="64"/>
      <c r="R22" s="64"/>
      <c r="S22" s="92"/>
      <c r="T22" s="92"/>
      <c r="U22" s="92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</row>
    <row r="23" spans="1:52" s="66" customFormat="1" ht="12.75" customHeight="1">
      <c r="A23" s="773"/>
      <c r="B23" s="135" t="s">
        <v>1271</v>
      </c>
      <c r="C23" s="660"/>
      <c r="D23" s="771"/>
      <c r="E23" s="727"/>
      <c r="F23" s="350">
        <v>83</v>
      </c>
      <c r="G23" s="222">
        <v>5700</v>
      </c>
      <c r="H23" s="223"/>
      <c r="I23" s="145">
        <f t="shared" si="4"/>
        <v>0.35</v>
      </c>
      <c r="J23" s="674"/>
      <c r="K23" s="350">
        <f t="shared" si="5"/>
        <v>53.95</v>
      </c>
      <c r="L23" s="358">
        <f t="shared" si="6"/>
        <v>0</v>
      </c>
      <c r="M23" s="338" t="s">
        <v>340</v>
      </c>
      <c r="N23" s="336">
        <v>6.9000000000000006E-2</v>
      </c>
      <c r="O23" s="367">
        <v>4.5</v>
      </c>
      <c r="P23" s="64"/>
      <c r="Q23" s="64"/>
      <c r="R23" s="64"/>
      <c r="S23" s="92"/>
      <c r="T23" s="92"/>
      <c r="U23" s="92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</row>
    <row r="24" spans="1:52" s="66" customFormat="1" ht="15" customHeight="1">
      <c r="A24" s="772" t="s">
        <v>199</v>
      </c>
      <c r="B24" s="135" t="s">
        <v>200</v>
      </c>
      <c r="C24" s="770">
        <v>7</v>
      </c>
      <c r="D24" s="770">
        <v>8</v>
      </c>
      <c r="E24" s="726">
        <f>F24+F25</f>
        <v>1606</v>
      </c>
      <c r="F24" s="350">
        <v>1523</v>
      </c>
      <c r="G24" s="222">
        <v>103000</v>
      </c>
      <c r="H24" s="223"/>
      <c r="I24" s="145">
        <f t="shared" si="4"/>
        <v>0.35</v>
      </c>
      <c r="J24" s="673">
        <f>SUM(E24-(E24*I24))</f>
        <v>1043.9000000000001</v>
      </c>
      <c r="K24" s="350">
        <f t="shared" si="5"/>
        <v>989.95</v>
      </c>
      <c r="L24" s="358">
        <f t="shared" ref="L24:L29" si="7">H24*K24</f>
        <v>0</v>
      </c>
      <c r="M24" s="338" t="s">
        <v>339</v>
      </c>
      <c r="N24" s="336">
        <v>0.12</v>
      </c>
      <c r="O24" s="367">
        <v>20</v>
      </c>
      <c r="P24" s="64"/>
      <c r="Q24" s="64"/>
      <c r="R24" s="64"/>
      <c r="S24" s="92"/>
      <c r="T24" s="92"/>
      <c r="U24" s="92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</row>
    <row r="25" spans="1:52" s="66" customFormat="1" ht="12.75" customHeight="1">
      <c r="A25" s="773"/>
      <c r="B25" s="135" t="s">
        <v>1271</v>
      </c>
      <c r="C25" s="771"/>
      <c r="D25" s="771"/>
      <c r="E25" s="727"/>
      <c r="F25" s="350">
        <v>83</v>
      </c>
      <c r="G25" s="222">
        <v>5700</v>
      </c>
      <c r="H25" s="223"/>
      <c r="I25" s="145">
        <f t="shared" si="4"/>
        <v>0.35</v>
      </c>
      <c r="J25" s="674"/>
      <c r="K25" s="350">
        <f t="shared" si="5"/>
        <v>53.95</v>
      </c>
      <c r="L25" s="358">
        <f t="shared" si="7"/>
        <v>0</v>
      </c>
      <c r="M25" s="338" t="s">
        <v>340</v>
      </c>
      <c r="N25" s="336">
        <v>6.9000000000000006E-2</v>
      </c>
      <c r="O25" s="367">
        <v>4.5</v>
      </c>
      <c r="P25" s="64"/>
      <c r="Q25" s="64"/>
      <c r="R25" s="64"/>
      <c r="S25" s="92"/>
      <c r="T25" s="92"/>
      <c r="U25" s="92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</row>
    <row r="26" spans="1:52" s="66" customFormat="1" ht="15" customHeight="1">
      <c r="A26" s="680" t="s">
        <v>273</v>
      </c>
      <c r="B26" s="135" t="s">
        <v>283</v>
      </c>
      <c r="C26" s="770">
        <v>8.5</v>
      </c>
      <c r="D26" s="770">
        <v>10</v>
      </c>
      <c r="E26" s="726">
        <f>F26+F27</f>
        <v>2071</v>
      </c>
      <c r="F26" s="350">
        <v>1988</v>
      </c>
      <c r="G26" s="222">
        <v>134400</v>
      </c>
      <c r="H26" s="223"/>
      <c r="I26" s="145">
        <f t="shared" si="4"/>
        <v>0.35</v>
      </c>
      <c r="J26" s="673">
        <f>SUM(E26-(E26*I26))</f>
        <v>1346.15</v>
      </c>
      <c r="K26" s="350">
        <f t="shared" si="5"/>
        <v>1292.2</v>
      </c>
      <c r="L26" s="358">
        <f t="shared" si="7"/>
        <v>0</v>
      </c>
      <c r="M26" s="338" t="s">
        <v>339</v>
      </c>
      <c r="N26" s="336">
        <v>0.12</v>
      </c>
      <c r="O26" s="367">
        <v>20</v>
      </c>
      <c r="P26" s="64"/>
      <c r="Q26" s="64"/>
      <c r="R26" s="64"/>
      <c r="S26" s="92"/>
      <c r="T26" s="92"/>
      <c r="U26" s="92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</row>
    <row r="27" spans="1:52" s="66" customFormat="1" ht="12.75" customHeight="1">
      <c r="A27" s="681"/>
      <c r="B27" s="135" t="s">
        <v>1271</v>
      </c>
      <c r="C27" s="771"/>
      <c r="D27" s="771"/>
      <c r="E27" s="727"/>
      <c r="F27" s="350">
        <v>83</v>
      </c>
      <c r="G27" s="222">
        <v>5700</v>
      </c>
      <c r="H27" s="223"/>
      <c r="I27" s="145">
        <f t="shared" si="4"/>
        <v>0.35</v>
      </c>
      <c r="J27" s="674"/>
      <c r="K27" s="350">
        <f t="shared" si="5"/>
        <v>53.95</v>
      </c>
      <c r="L27" s="358">
        <f t="shared" si="7"/>
        <v>0</v>
      </c>
      <c r="M27" s="338" t="s">
        <v>340</v>
      </c>
      <c r="N27" s="336">
        <v>6.9000000000000006E-2</v>
      </c>
      <c r="O27" s="367">
        <v>4.5</v>
      </c>
      <c r="P27" s="64"/>
      <c r="Q27" s="64"/>
      <c r="R27" s="64"/>
      <c r="S27" s="92"/>
      <c r="T27" s="92"/>
      <c r="U27" s="92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</row>
    <row r="28" spans="1:52" s="66" customFormat="1" ht="15" customHeight="1">
      <c r="A28" s="680" t="s">
        <v>669</v>
      </c>
      <c r="B28" s="135" t="s">
        <v>284</v>
      </c>
      <c r="C28" s="770">
        <v>10</v>
      </c>
      <c r="D28" s="770">
        <v>11.2</v>
      </c>
      <c r="E28" s="726">
        <f>F28+F29</f>
        <v>2245</v>
      </c>
      <c r="F28" s="350">
        <v>2162</v>
      </c>
      <c r="G28" s="222">
        <v>146200</v>
      </c>
      <c r="H28" s="223"/>
      <c r="I28" s="145">
        <f t="shared" si="4"/>
        <v>0.35</v>
      </c>
      <c r="J28" s="673">
        <f>SUM(E28-(E28*I28))</f>
        <v>1459.25</v>
      </c>
      <c r="K28" s="350">
        <f t="shared" si="5"/>
        <v>1405.3000000000002</v>
      </c>
      <c r="L28" s="358">
        <f t="shared" si="7"/>
        <v>0</v>
      </c>
      <c r="M28" s="338" t="s">
        <v>339</v>
      </c>
      <c r="N28" s="336">
        <v>0.12</v>
      </c>
      <c r="O28" s="367">
        <v>20</v>
      </c>
      <c r="P28" s="64"/>
      <c r="Q28" s="64"/>
      <c r="R28" s="64"/>
      <c r="S28" s="92"/>
      <c r="T28" s="92"/>
      <c r="U28" s="92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</row>
    <row r="29" spans="1:52" s="66" customFormat="1" ht="12.75" customHeight="1">
      <c r="A29" s="681"/>
      <c r="B29" s="135" t="s">
        <v>1271</v>
      </c>
      <c r="C29" s="771"/>
      <c r="D29" s="771"/>
      <c r="E29" s="727"/>
      <c r="F29" s="350">
        <v>83</v>
      </c>
      <c r="G29" s="222">
        <v>5700</v>
      </c>
      <c r="H29" s="223"/>
      <c r="I29" s="145">
        <f t="shared" si="4"/>
        <v>0.35</v>
      </c>
      <c r="J29" s="674"/>
      <c r="K29" s="350">
        <f t="shared" si="5"/>
        <v>53.95</v>
      </c>
      <c r="L29" s="358">
        <f t="shared" si="7"/>
        <v>0</v>
      </c>
      <c r="M29" s="338" t="s">
        <v>340</v>
      </c>
      <c r="N29" s="336">
        <v>6.9000000000000006E-2</v>
      </c>
      <c r="O29" s="367">
        <v>4.5</v>
      </c>
      <c r="P29" s="64"/>
      <c r="Q29" s="64"/>
      <c r="R29" s="64"/>
      <c r="S29" s="92"/>
      <c r="T29" s="92"/>
      <c r="U29" s="92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</row>
    <row r="30" spans="1:52" s="66" customFormat="1" ht="15" customHeight="1">
      <c r="A30" s="680" t="s">
        <v>670</v>
      </c>
      <c r="B30" s="135" t="s">
        <v>287</v>
      </c>
      <c r="C30" s="770">
        <v>12.5</v>
      </c>
      <c r="D30" s="770">
        <v>14</v>
      </c>
      <c r="E30" s="726">
        <f>F30+F31</f>
        <v>2205</v>
      </c>
      <c r="F30" s="350">
        <v>2122</v>
      </c>
      <c r="G30" s="222">
        <v>143500</v>
      </c>
      <c r="H30" s="223"/>
      <c r="I30" s="145">
        <f t="shared" si="4"/>
        <v>0.35</v>
      </c>
      <c r="J30" s="673">
        <f>SUM(E30-(E30*I30))</f>
        <v>1433.25</v>
      </c>
      <c r="K30" s="350">
        <f t="shared" si="5"/>
        <v>1379.3000000000002</v>
      </c>
      <c r="L30" s="358">
        <f t="shared" si="6"/>
        <v>0</v>
      </c>
      <c r="M30" s="338" t="s">
        <v>339</v>
      </c>
      <c r="N30" s="336">
        <v>0.12</v>
      </c>
      <c r="O30" s="367">
        <v>20</v>
      </c>
      <c r="P30" s="64"/>
      <c r="Q30" s="64"/>
      <c r="R30" s="64"/>
      <c r="S30" s="92"/>
      <c r="T30" s="92"/>
      <c r="U30" s="92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</row>
    <row r="31" spans="1:52" s="66" customFormat="1" ht="12.75" customHeight="1">
      <c r="A31" s="681"/>
      <c r="B31" s="135" t="s">
        <v>1271</v>
      </c>
      <c r="C31" s="771"/>
      <c r="D31" s="771"/>
      <c r="E31" s="727"/>
      <c r="F31" s="350">
        <v>83</v>
      </c>
      <c r="G31" s="222">
        <v>5700</v>
      </c>
      <c r="H31" s="223"/>
      <c r="I31" s="145">
        <f t="shared" si="4"/>
        <v>0.35</v>
      </c>
      <c r="J31" s="674"/>
      <c r="K31" s="350">
        <f t="shared" si="5"/>
        <v>53.95</v>
      </c>
      <c r="L31" s="358">
        <f t="shared" si="6"/>
        <v>0</v>
      </c>
      <c r="M31" s="338" t="s">
        <v>340</v>
      </c>
      <c r="N31" s="336">
        <v>6.9000000000000006E-2</v>
      </c>
      <c r="O31" s="367">
        <v>4.5</v>
      </c>
      <c r="P31" s="64"/>
      <c r="Q31" s="64"/>
      <c r="R31" s="64"/>
      <c r="S31" s="92"/>
      <c r="T31" s="92"/>
      <c r="U31" s="92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</row>
    <row r="32" spans="1:52" ht="30" customHeight="1">
      <c r="A32" s="688" t="s">
        <v>55</v>
      </c>
      <c r="B32" s="689"/>
      <c r="C32" s="689"/>
      <c r="D32" s="689"/>
      <c r="E32" s="689"/>
      <c r="F32" s="689"/>
      <c r="G32" s="689"/>
      <c r="H32" s="689"/>
      <c r="I32" s="689"/>
      <c r="J32" s="689"/>
      <c r="K32" s="689"/>
      <c r="L32" s="689"/>
      <c r="M32" s="689"/>
      <c r="N32" s="689"/>
      <c r="O32" s="719"/>
      <c r="S32" s="92"/>
      <c r="T32" s="92"/>
      <c r="U32" s="92"/>
    </row>
    <row r="33" spans="1:52" ht="30" customHeight="1">
      <c r="A33" s="606" t="s">
        <v>164</v>
      </c>
      <c r="B33" s="607"/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8"/>
      <c r="S33" s="92"/>
      <c r="T33" s="92"/>
      <c r="U33" s="92"/>
    </row>
    <row r="34" spans="1:52" s="66" customFormat="1" ht="21" customHeight="1">
      <c r="A34" s="380" t="s">
        <v>69</v>
      </c>
      <c r="B34" s="332"/>
      <c r="C34" s="225">
        <v>5.2</v>
      </c>
      <c r="D34" s="225">
        <v>6</v>
      </c>
      <c r="E34" s="226"/>
      <c r="F34" s="350">
        <v>1092</v>
      </c>
      <c r="G34" s="222">
        <v>73900</v>
      </c>
      <c r="H34" s="223"/>
      <c r="I34" s="145">
        <f t="shared" ref="I34:I39" si="8">$D$3</f>
        <v>0.35</v>
      </c>
      <c r="J34" s="227"/>
      <c r="K34" s="350">
        <f t="shared" ref="K34:K39" si="9">SUM(F34-(F34*I34))</f>
        <v>709.8</v>
      </c>
      <c r="L34" s="331">
        <f t="shared" ref="L34:L39" si="10">H34*K34</f>
        <v>0</v>
      </c>
      <c r="M34" s="338" t="s">
        <v>544</v>
      </c>
      <c r="N34" s="142">
        <v>0.249</v>
      </c>
      <c r="O34" s="367">
        <v>30</v>
      </c>
      <c r="P34" s="64"/>
      <c r="Q34" s="64"/>
      <c r="R34" s="64"/>
      <c r="S34" s="92"/>
      <c r="T34" s="92"/>
      <c r="U34" s="92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</row>
    <row r="35" spans="1:52" s="66" customFormat="1" ht="21" customHeight="1">
      <c r="A35" s="380" t="s">
        <v>1406</v>
      </c>
      <c r="B35" s="332"/>
      <c r="C35" s="228">
        <v>6.25</v>
      </c>
      <c r="D35" s="229">
        <v>7</v>
      </c>
      <c r="E35" s="226"/>
      <c r="F35" s="350">
        <v>1270</v>
      </c>
      <c r="G35" s="222">
        <v>85900</v>
      </c>
      <c r="H35" s="223"/>
      <c r="I35" s="145">
        <f t="shared" si="8"/>
        <v>0.35</v>
      </c>
      <c r="J35" s="227"/>
      <c r="K35" s="350">
        <f t="shared" si="9"/>
        <v>825.5</v>
      </c>
      <c r="L35" s="331">
        <f t="shared" si="10"/>
        <v>0</v>
      </c>
      <c r="M35" s="338" t="s">
        <v>335</v>
      </c>
      <c r="N35" s="336">
        <v>0.313</v>
      </c>
      <c r="O35" s="367">
        <v>45</v>
      </c>
      <c r="P35" s="64"/>
      <c r="Q35" s="64"/>
      <c r="R35" s="64"/>
      <c r="S35" s="92"/>
      <c r="T35" s="92"/>
      <c r="U35" s="92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</row>
    <row r="36" spans="1:52" ht="21" customHeight="1">
      <c r="A36" s="380" t="s">
        <v>201</v>
      </c>
      <c r="B36" s="332"/>
      <c r="C36" s="225">
        <v>7</v>
      </c>
      <c r="D36" s="229">
        <v>8</v>
      </c>
      <c r="E36" s="226"/>
      <c r="F36" s="350">
        <v>1491</v>
      </c>
      <c r="G36" s="222">
        <v>100800</v>
      </c>
      <c r="H36" s="223"/>
      <c r="I36" s="145">
        <f t="shared" si="8"/>
        <v>0.35</v>
      </c>
      <c r="J36" s="227"/>
      <c r="K36" s="350">
        <f t="shared" si="9"/>
        <v>969.15</v>
      </c>
      <c r="L36" s="331">
        <f t="shared" si="10"/>
        <v>0</v>
      </c>
      <c r="M36" s="338" t="s">
        <v>335</v>
      </c>
      <c r="N36" s="336">
        <v>0.313</v>
      </c>
      <c r="O36" s="367">
        <v>45</v>
      </c>
      <c r="R36" s="64"/>
      <c r="S36" s="92"/>
      <c r="T36" s="92"/>
      <c r="U36" s="92"/>
      <c r="V36" s="64"/>
    </row>
    <row r="37" spans="1:52" ht="21" customHeight="1">
      <c r="A37" s="422" t="s">
        <v>289</v>
      </c>
      <c r="B37" s="332"/>
      <c r="C37" s="225">
        <v>8.5</v>
      </c>
      <c r="D37" s="229">
        <v>10</v>
      </c>
      <c r="E37" s="226"/>
      <c r="F37" s="350">
        <v>1575</v>
      </c>
      <c r="G37" s="222">
        <v>106500</v>
      </c>
      <c r="H37" s="223"/>
      <c r="I37" s="145">
        <f t="shared" si="8"/>
        <v>0.35</v>
      </c>
      <c r="J37" s="227"/>
      <c r="K37" s="350">
        <f t="shared" si="9"/>
        <v>1023.75</v>
      </c>
      <c r="L37" s="331">
        <f t="shared" si="10"/>
        <v>0</v>
      </c>
      <c r="M37" s="338" t="s">
        <v>335</v>
      </c>
      <c r="N37" s="336">
        <v>0.313</v>
      </c>
      <c r="O37" s="367">
        <v>45</v>
      </c>
      <c r="R37" s="64"/>
      <c r="S37" s="92"/>
      <c r="T37" s="92"/>
      <c r="U37" s="92"/>
      <c r="V37" s="64"/>
    </row>
    <row r="38" spans="1:52" ht="21" customHeight="1">
      <c r="A38" s="422" t="s">
        <v>190</v>
      </c>
      <c r="B38" s="332"/>
      <c r="C38" s="225">
        <v>9.4</v>
      </c>
      <c r="D38" s="229">
        <v>11.2</v>
      </c>
      <c r="E38" s="226"/>
      <c r="F38" s="350">
        <v>2042</v>
      </c>
      <c r="G38" s="222">
        <v>138100</v>
      </c>
      <c r="H38" s="223"/>
      <c r="I38" s="145">
        <f t="shared" si="8"/>
        <v>0.35</v>
      </c>
      <c r="J38" s="227"/>
      <c r="K38" s="350">
        <f t="shared" si="9"/>
        <v>1327.3000000000002</v>
      </c>
      <c r="L38" s="331">
        <f t="shared" si="10"/>
        <v>0</v>
      </c>
      <c r="M38" s="338" t="s">
        <v>335</v>
      </c>
      <c r="N38" s="336">
        <v>0.313</v>
      </c>
      <c r="O38" s="367">
        <v>45</v>
      </c>
      <c r="R38" s="64"/>
      <c r="S38" s="92"/>
      <c r="T38" s="92"/>
      <c r="U38" s="92"/>
      <c r="V38" s="64"/>
    </row>
    <row r="39" spans="1:52" ht="21" customHeight="1">
      <c r="A39" s="422" t="s">
        <v>191</v>
      </c>
      <c r="B39" s="332"/>
      <c r="C39" s="225">
        <v>12</v>
      </c>
      <c r="D39" s="229">
        <v>13.3</v>
      </c>
      <c r="E39" s="226"/>
      <c r="F39" s="350">
        <v>2080</v>
      </c>
      <c r="G39" s="222">
        <v>140700</v>
      </c>
      <c r="H39" s="223"/>
      <c r="I39" s="145">
        <f t="shared" si="8"/>
        <v>0.35</v>
      </c>
      <c r="J39" s="227"/>
      <c r="K39" s="350">
        <f t="shared" si="9"/>
        <v>1352</v>
      </c>
      <c r="L39" s="331">
        <f t="shared" si="10"/>
        <v>0</v>
      </c>
      <c r="M39" s="338" t="s">
        <v>335</v>
      </c>
      <c r="N39" s="336">
        <v>0.313</v>
      </c>
      <c r="O39" s="367">
        <v>45</v>
      </c>
      <c r="R39" s="64"/>
      <c r="S39" s="92"/>
      <c r="T39" s="92"/>
      <c r="U39" s="92"/>
      <c r="V39" s="64"/>
    </row>
    <row r="40" spans="1:52" ht="30" customHeight="1">
      <c r="A40" s="688" t="s">
        <v>53</v>
      </c>
      <c r="B40" s="689"/>
      <c r="C40" s="689"/>
      <c r="D40" s="689"/>
      <c r="E40" s="689"/>
      <c r="F40" s="689"/>
      <c r="G40" s="689"/>
      <c r="H40" s="689"/>
      <c r="I40" s="689"/>
      <c r="J40" s="689"/>
      <c r="K40" s="689"/>
      <c r="L40" s="689"/>
      <c r="M40" s="689"/>
      <c r="N40" s="689"/>
      <c r="O40" s="719"/>
      <c r="S40" s="92"/>
      <c r="T40" s="92"/>
      <c r="U40" s="92"/>
    </row>
    <row r="41" spans="1:52" ht="30" customHeight="1">
      <c r="A41" s="606" t="s">
        <v>165</v>
      </c>
      <c r="B41" s="607"/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8"/>
      <c r="S41" s="92"/>
      <c r="T41" s="92"/>
      <c r="U41" s="92"/>
    </row>
    <row r="42" spans="1:52" s="66" customFormat="1" ht="22.5" customHeight="1">
      <c r="A42" s="380" t="s">
        <v>66</v>
      </c>
      <c r="B42" s="332"/>
      <c r="C42" s="225">
        <v>5.2</v>
      </c>
      <c r="D42" s="225">
        <v>6</v>
      </c>
      <c r="E42" s="226"/>
      <c r="F42" s="350">
        <v>1048</v>
      </c>
      <c r="G42" s="222">
        <v>70900</v>
      </c>
      <c r="H42" s="223"/>
      <c r="I42" s="145">
        <f t="shared" ref="I42:I47" si="11">$D$3</f>
        <v>0.35</v>
      </c>
      <c r="J42" s="227"/>
      <c r="K42" s="350">
        <f t="shared" ref="K42:K47" si="12">SUM(F42-(F42*I42))</f>
        <v>681.2</v>
      </c>
      <c r="L42" s="331">
        <f t="shared" ref="L42:L47" si="13">H42*K42</f>
        <v>0</v>
      </c>
      <c r="M42" s="338" t="s">
        <v>337</v>
      </c>
      <c r="N42" s="336">
        <v>0.29099999999999998</v>
      </c>
      <c r="O42" s="367">
        <v>36</v>
      </c>
      <c r="P42" s="64"/>
      <c r="Q42" s="64"/>
      <c r="R42" s="64"/>
      <c r="S42" s="92"/>
      <c r="T42" s="92"/>
      <c r="U42" s="92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</row>
    <row r="43" spans="1:52" s="66" customFormat="1" ht="22.5" customHeight="1">
      <c r="A43" s="380" t="s">
        <v>666</v>
      </c>
      <c r="B43" s="332"/>
      <c r="C43" s="228">
        <v>6.25</v>
      </c>
      <c r="D43" s="229">
        <v>7</v>
      </c>
      <c r="E43" s="226"/>
      <c r="F43" s="350">
        <v>1400</v>
      </c>
      <c r="G43" s="222">
        <v>94700</v>
      </c>
      <c r="H43" s="223"/>
      <c r="I43" s="145">
        <f t="shared" si="11"/>
        <v>0.35</v>
      </c>
      <c r="J43" s="227"/>
      <c r="K43" s="350">
        <f t="shared" si="12"/>
        <v>910</v>
      </c>
      <c r="L43" s="331">
        <f t="shared" si="13"/>
        <v>0</v>
      </c>
      <c r="M43" s="338" t="s">
        <v>337</v>
      </c>
      <c r="N43" s="336">
        <v>0.29099999999999998</v>
      </c>
      <c r="O43" s="367">
        <v>36</v>
      </c>
      <c r="P43" s="64"/>
      <c r="Q43" s="64"/>
      <c r="R43" s="64"/>
      <c r="S43" s="92"/>
      <c r="T43" s="92"/>
      <c r="U43" s="92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</row>
    <row r="44" spans="1:52" s="66" customFormat="1" ht="22.5" customHeight="1">
      <c r="A44" s="380" t="s">
        <v>202</v>
      </c>
      <c r="B44" s="332"/>
      <c r="C44" s="225">
        <v>6.8</v>
      </c>
      <c r="D44" s="229">
        <v>8</v>
      </c>
      <c r="E44" s="226"/>
      <c r="F44" s="350">
        <v>1501</v>
      </c>
      <c r="G44" s="222">
        <v>101500</v>
      </c>
      <c r="H44" s="223"/>
      <c r="I44" s="145">
        <f t="shared" si="11"/>
        <v>0.35</v>
      </c>
      <c r="J44" s="227"/>
      <c r="K44" s="350">
        <f t="shared" si="12"/>
        <v>975.65</v>
      </c>
      <c r="L44" s="331">
        <f t="shared" si="13"/>
        <v>0</v>
      </c>
      <c r="M44" s="338" t="s">
        <v>337</v>
      </c>
      <c r="N44" s="336">
        <v>0.29099999999999998</v>
      </c>
      <c r="O44" s="367">
        <v>36</v>
      </c>
      <c r="P44" s="64"/>
      <c r="Q44" s="64"/>
      <c r="R44" s="64"/>
      <c r="S44" s="92"/>
      <c r="T44" s="92"/>
      <c r="U44" s="92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</row>
    <row r="45" spans="1:52" s="66" customFormat="1" ht="22.5" customHeight="1">
      <c r="A45" s="422" t="s">
        <v>291</v>
      </c>
      <c r="B45" s="332"/>
      <c r="C45" s="225">
        <v>8.5</v>
      </c>
      <c r="D45" s="229">
        <v>10</v>
      </c>
      <c r="E45" s="226"/>
      <c r="F45" s="350">
        <v>1668</v>
      </c>
      <c r="G45" s="222">
        <v>112800</v>
      </c>
      <c r="H45" s="223"/>
      <c r="I45" s="145">
        <f t="shared" si="11"/>
        <v>0.35</v>
      </c>
      <c r="J45" s="227"/>
      <c r="K45" s="350">
        <f t="shared" si="12"/>
        <v>1084.2</v>
      </c>
      <c r="L45" s="331">
        <f t="shared" si="13"/>
        <v>0</v>
      </c>
      <c r="M45" s="338" t="s">
        <v>337</v>
      </c>
      <c r="N45" s="336">
        <v>0.29099999999999998</v>
      </c>
      <c r="O45" s="367">
        <v>36</v>
      </c>
      <c r="P45" s="64"/>
      <c r="Q45" s="64"/>
      <c r="R45" s="64"/>
      <c r="S45" s="92"/>
      <c r="T45" s="92"/>
      <c r="U45" s="92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</row>
    <row r="46" spans="1:52" s="66" customFormat="1" ht="22.5" customHeight="1">
      <c r="A46" s="422" t="s">
        <v>292</v>
      </c>
      <c r="B46" s="332"/>
      <c r="C46" s="225">
        <v>9.4</v>
      </c>
      <c r="D46" s="229">
        <v>11.2</v>
      </c>
      <c r="E46" s="226"/>
      <c r="F46" s="350">
        <v>2228</v>
      </c>
      <c r="G46" s="222">
        <v>150700</v>
      </c>
      <c r="H46" s="223"/>
      <c r="I46" s="145">
        <f t="shared" si="11"/>
        <v>0.35</v>
      </c>
      <c r="J46" s="227"/>
      <c r="K46" s="350">
        <f t="shared" si="12"/>
        <v>1448.2</v>
      </c>
      <c r="L46" s="331">
        <f t="shared" si="13"/>
        <v>0</v>
      </c>
      <c r="M46" s="338" t="s">
        <v>337</v>
      </c>
      <c r="N46" s="336">
        <v>0.29099999999999998</v>
      </c>
      <c r="O46" s="367">
        <v>36</v>
      </c>
      <c r="P46" s="64"/>
      <c r="Q46" s="64"/>
      <c r="R46" s="64"/>
      <c r="S46" s="92"/>
      <c r="T46" s="92"/>
      <c r="U46" s="92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</row>
    <row r="47" spans="1:52" s="66" customFormat="1" ht="22.5" customHeight="1">
      <c r="A47" s="422" t="s">
        <v>187</v>
      </c>
      <c r="B47" s="332"/>
      <c r="C47" s="225">
        <v>12</v>
      </c>
      <c r="D47" s="229">
        <v>13.3</v>
      </c>
      <c r="E47" s="226"/>
      <c r="F47" s="350">
        <v>2229</v>
      </c>
      <c r="G47" s="222">
        <v>150700</v>
      </c>
      <c r="H47" s="223"/>
      <c r="I47" s="145">
        <f t="shared" si="11"/>
        <v>0.35</v>
      </c>
      <c r="J47" s="227"/>
      <c r="K47" s="350">
        <f t="shared" si="12"/>
        <v>1448.85</v>
      </c>
      <c r="L47" s="331">
        <f t="shared" si="13"/>
        <v>0</v>
      </c>
      <c r="M47" s="338" t="s">
        <v>337</v>
      </c>
      <c r="N47" s="336">
        <v>0.29099999999999998</v>
      </c>
      <c r="O47" s="367">
        <v>36</v>
      </c>
      <c r="P47" s="64"/>
      <c r="Q47" s="64"/>
      <c r="R47" s="64"/>
      <c r="S47" s="92"/>
      <c r="T47" s="92"/>
      <c r="U47" s="92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</row>
    <row r="48" spans="1:52" s="56" customFormat="1" ht="13.5" customHeight="1">
      <c r="A48" s="423"/>
      <c r="B48" s="729"/>
      <c r="C48" s="730"/>
      <c r="D48" s="730"/>
      <c r="E48" s="731"/>
      <c r="F48" s="184"/>
      <c r="G48" s="184"/>
      <c r="H48" s="184"/>
      <c r="I48" s="184"/>
      <c r="J48" s="184"/>
      <c r="K48" s="184"/>
      <c r="L48" s="230"/>
      <c r="M48" s="230"/>
      <c r="N48" s="335"/>
      <c r="O48" s="424"/>
      <c r="P48" s="70"/>
      <c r="Q48" s="70"/>
      <c r="R48" s="64"/>
      <c r="S48" s="92"/>
      <c r="T48" s="92"/>
      <c r="U48" s="92"/>
      <c r="V48" s="64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</row>
    <row r="49" spans="1:52" ht="30" customHeight="1">
      <c r="A49" s="688" t="s">
        <v>51</v>
      </c>
      <c r="B49" s="689"/>
      <c r="C49" s="689"/>
      <c r="D49" s="689"/>
      <c r="E49" s="689"/>
      <c r="F49" s="689"/>
      <c r="G49" s="689"/>
      <c r="H49" s="689"/>
      <c r="I49" s="689"/>
      <c r="J49" s="689"/>
      <c r="K49" s="689"/>
      <c r="L49" s="689"/>
      <c r="M49" s="689"/>
      <c r="N49" s="689"/>
      <c r="O49" s="425"/>
      <c r="P49" s="70"/>
      <c r="Q49" s="70"/>
      <c r="R49" s="70"/>
      <c r="S49" s="92"/>
      <c r="T49" s="92"/>
      <c r="U49" s="92"/>
    </row>
    <row r="50" spans="1:52" ht="69.75" customHeight="1">
      <c r="A50" s="400"/>
      <c r="B50" s="585" t="s">
        <v>365</v>
      </c>
      <c r="C50" s="586"/>
      <c r="D50" s="587"/>
      <c r="E50" s="341" t="s">
        <v>364</v>
      </c>
      <c r="F50" s="172" t="s">
        <v>494</v>
      </c>
      <c r="G50" s="324" t="s">
        <v>740</v>
      </c>
      <c r="H50" s="341" t="s">
        <v>28</v>
      </c>
      <c r="I50" s="341" t="s">
        <v>22</v>
      </c>
      <c r="J50" s="173" t="s">
        <v>490</v>
      </c>
      <c r="K50" s="341"/>
      <c r="L50" s="173" t="s">
        <v>27</v>
      </c>
      <c r="M50" s="171"/>
      <c r="N50" s="341" t="s">
        <v>23</v>
      </c>
      <c r="O50" s="379" t="s">
        <v>24</v>
      </c>
      <c r="S50" s="92"/>
      <c r="T50" s="92"/>
      <c r="U50" s="92"/>
    </row>
    <row r="51" spans="1:52" ht="45.75" customHeight="1">
      <c r="A51" s="426" t="s">
        <v>1410</v>
      </c>
      <c r="B51" s="716" t="s">
        <v>426</v>
      </c>
      <c r="C51" s="717"/>
      <c r="D51" s="718"/>
      <c r="E51" s="338" t="s">
        <v>500</v>
      </c>
      <c r="F51" s="231">
        <v>161</v>
      </c>
      <c r="G51" s="222">
        <v>10500</v>
      </c>
      <c r="H51" s="223"/>
      <c r="I51" s="145">
        <f t="shared" ref="I51:I65" si="14">$D$3</f>
        <v>0.35</v>
      </c>
      <c r="J51" s="331">
        <f t="shared" ref="J51:J65" si="15">SUM(F51-(F51*I51))</f>
        <v>104.65</v>
      </c>
      <c r="K51" s="145"/>
      <c r="L51" s="331">
        <f t="shared" ref="L51:L65" si="16">H51*J51</f>
        <v>0</v>
      </c>
      <c r="M51" s="224"/>
      <c r="N51" s="232">
        <v>1.2E-2</v>
      </c>
      <c r="O51" s="427">
        <v>1.8</v>
      </c>
      <c r="S51" s="92"/>
      <c r="T51" s="92"/>
      <c r="U51" s="92"/>
    </row>
    <row r="52" spans="1:52" s="9" customFormat="1" ht="45.75" customHeight="1">
      <c r="A52" s="426" t="s">
        <v>1411</v>
      </c>
      <c r="B52" s="716" t="s">
        <v>426</v>
      </c>
      <c r="C52" s="717"/>
      <c r="D52" s="718"/>
      <c r="E52" s="338" t="s">
        <v>501</v>
      </c>
      <c r="F52" s="231">
        <v>161</v>
      </c>
      <c r="G52" s="222">
        <v>10500</v>
      </c>
      <c r="H52" s="223"/>
      <c r="I52" s="145">
        <f t="shared" si="14"/>
        <v>0.35</v>
      </c>
      <c r="J52" s="331">
        <f t="shared" si="15"/>
        <v>104.65</v>
      </c>
      <c r="K52" s="145"/>
      <c r="L52" s="331">
        <f t="shared" si="16"/>
        <v>0</v>
      </c>
      <c r="M52" s="224"/>
      <c r="N52" s="232">
        <v>1.2E-2</v>
      </c>
      <c r="O52" s="427">
        <v>1.8</v>
      </c>
      <c r="P52" s="57"/>
      <c r="Q52" s="57"/>
      <c r="R52" s="57"/>
      <c r="S52" s="92"/>
      <c r="T52" s="92"/>
      <c r="U52" s="92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</row>
    <row r="53" spans="1:52" s="9" customFormat="1" ht="45.75" customHeight="1">
      <c r="A53" s="426" t="s">
        <v>1412</v>
      </c>
      <c r="B53" s="716" t="s">
        <v>426</v>
      </c>
      <c r="C53" s="717"/>
      <c r="D53" s="718"/>
      <c r="E53" s="338" t="s">
        <v>502</v>
      </c>
      <c r="F53" s="231">
        <v>161</v>
      </c>
      <c r="G53" s="222">
        <v>10500</v>
      </c>
      <c r="H53" s="223"/>
      <c r="I53" s="145">
        <f t="shared" si="14"/>
        <v>0.35</v>
      </c>
      <c r="J53" s="331">
        <f t="shared" si="15"/>
        <v>104.65</v>
      </c>
      <c r="K53" s="145"/>
      <c r="L53" s="331">
        <f t="shared" si="16"/>
        <v>0</v>
      </c>
      <c r="M53" s="224"/>
      <c r="N53" s="232">
        <v>1.2E-2</v>
      </c>
      <c r="O53" s="427">
        <v>1.8</v>
      </c>
      <c r="P53" s="57"/>
      <c r="Q53" s="57"/>
      <c r="R53" s="57"/>
      <c r="S53" s="92"/>
      <c r="T53" s="92"/>
      <c r="U53" s="92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</row>
    <row r="54" spans="1:52" s="9" customFormat="1" ht="54" customHeight="1">
      <c r="A54" s="380" t="s">
        <v>1130</v>
      </c>
      <c r="B54" s="716" t="s">
        <v>518</v>
      </c>
      <c r="C54" s="717"/>
      <c r="D54" s="718"/>
      <c r="E54" s="723" t="s">
        <v>504</v>
      </c>
      <c r="F54" s="231">
        <v>221</v>
      </c>
      <c r="G54" s="222">
        <v>14400</v>
      </c>
      <c r="H54" s="223"/>
      <c r="I54" s="145">
        <f t="shared" si="14"/>
        <v>0.35</v>
      </c>
      <c r="J54" s="331">
        <f t="shared" si="15"/>
        <v>143.65</v>
      </c>
      <c r="K54" s="145"/>
      <c r="L54" s="331">
        <f t="shared" si="16"/>
        <v>0</v>
      </c>
      <c r="M54" s="224"/>
      <c r="N54" s="232">
        <v>4.0000000000000001E-3</v>
      </c>
      <c r="O54" s="367">
        <v>2</v>
      </c>
      <c r="P54" s="57"/>
      <c r="Q54" s="57"/>
      <c r="R54" s="57"/>
      <c r="S54" s="92"/>
      <c r="T54" s="92"/>
      <c r="U54" s="92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</row>
    <row r="55" spans="1:52" s="9" customFormat="1" ht="50.25" customHeight="1">
      <c r="A55" s="380" t="s">
        <v>1131</v>
      </c>
      <c r="B55" s="716" t="s">
        <v>516</v>
      </c>
      <c r="C55" s="717"/>
      <c r="D55" s="718"/>
      <c r="E55" s="724"/>
      <c r="F55" s="231">
        <v>169</v>
      </c>
      <c r="G55" s="222">
        <v>11000</v>
      </c>
      <c r="H55" s="223"/>
      <c r="I55" s="145">
        <f t="shared" si="14"/>
        <v>0.35</v>
      </c>
      <c r="J55" s="331">
        <f t="shared" si="15"/>
        <v>109.85</v>
      </c>
      <c r="K55" s="145"/>
      <c r="L55" s="331">
        <f t="shared" si="16"/>
        <v>0</v>
      </c>
      <c r="M55" s="224"/>
      <c r="N55" s="232">
        <v>1.7999999999999999E-2</v>
      </c>
      <c r="O55" s="367">
        <v>0.9</v>
      </c>
      <c r="P55" s="57"/>
      <c r="Q55" s="57"/>
      <c r="R55" s="57"/>
      <c r="S55" s="92"/>
      <c r="T55" s="92"/>
      <c r="U55" s="92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</row>
    <row r="56" spans="1:52" s="9" customFormat="1" ht="40.5" customHeight="1">
      <c r="A56" s="380" t="s">
        <v>1140</v>
      </c>
      <c r="B56" s="716" t="s">
        <v>399</v>
      </c>
      <c r="C56" s="717"/>
      <c r="D56" s="718"/>
      <c r="E56" s="725"/>
      <c r="F56" s="231">
        <v>156</v>
      </c>
      <c r="G56" s="222">
        <v>10200</v>
      </c>
      <c r="H56" s="223"/>
      <c r="I56" s="145">
        <f t="shared" si="14"/>
        <v>0.35</v>
      </c>
      <c r="J56" s="331">
        <f t="shared" si="15"/>
        <v>101.4</v>
      </c>
      <c r="K56" s="145"/>
      <c r="L56" s="331">
        <f t="shared" si="16"/>
        <v>0</v>
      </c>
      <c r="M56" s="224"/>
      <c r="N56" s="232">
        <v>4.0000000000000001E-3</v>
      </c>
      <c r="O56" s="367">
        <v>2</v>
      </c>
      <c r="P56" s="57"/>
      <c r="Q56" s="57"/>
      <c r="R56" s="57"/>
      <c r="S56" s="92"/>
      <c r="T56" s="92"/>
      <c r="U56" s="92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</row>
    <row r="57" spans="1:52" ht="41.25" customHeight="1">
      <c r="A57" s="380" t="s">
        <v>1383</v>
      </c>
      <c r="B57" s="716" t="s">
        <v>383</v>
      </c>
      <c r="C57" s="717"/>
      <c r="D57" s="718"/>
      <c r="E57" s="338" t="s">
        <v>503</v>
      </c>
      <c r="F57" s="231">
        <v>377</v>
      </c>
      <c r="G57" s="222">
        <v>24600</v>
      </c>
      <c r="H57" s="223"/>
      <c r="I57" s="145">
        <f t="shared" si="14"/>
        <v>0.35</v>
      </c>
      <c r="J57" s="331">
        <f t="shared" si="15"/>
        <v>245.05</v>
      </c>
      <c r="K57" s="145"/>
      <c r="L57" s="331">
        <f t="shared" si="16"/>
        <v>0</v>
      </c>
      <c r="M57" s="224"/>
      <c r="N57" s="335">
        <v>8.6999999999999994E-2</v>
      </c>
      <c r="O57" s="367">
        <v>16.399999999999999</v>
      </c>
      <c r="S57" s="92"/>
      <c r="T57" s="92"/>
      <c r="U57" s="92"/>
    </row>
    <row r="58" spans="1:52" ht="45" customHeight="1">
      <c r="A58" s="380" t="s">
        <v>1144</v>
      </c>
      <c r="B58" s="716" t="s">
        <v>244</v>
      </c>
      <c r="C58" s="717"/>
      <c r="D58" s="718"/>
      <c r="E58" s="723" t="s">
        <v>367</v>
      </c>
      <c r="F58" s="231">
        <v>442</v>
      </c>
      <c r="G58" s="222">
        <v>28800</v>
      </c>
      <c r="H58" s="223"/>
      <c r="I58" s="145">
        <f t="shared" si="14"/>
        <v>0.35</v>
      </c>
      <c r="J58" s="331">
        <f t="shared" si="15"/>
        <v>287.3</v>
      </c>
      <c r="K58" s="145"/>
      <c r="L58" s="331">
        <f t="shared" si="16"/>
        <v>0</v>
      </c>
      <c r="M58" s="224"/>
      <c r="N58" s="335">
        <v>1.6E-2</v>
      </c>
      <c r="O58" s="367">
        <v>2</v>
      </c>
      <c r="S58" s="92"/>
      <c r="T58" s="92"/>
      <c r="U58" s="92"/>
    </row>
    <row r="59" spans="1:52" ht="45" customHeight="1">
      <c r="A59" s="380" t="s">
        <v>1145</v>
      </c>
      <c r="B59" s="716" t="s">
        <v>377</v>
      </c>
      <c r="C59" s="717"/>
      <c r="D59" s="718"/>
      <c r="E59" s="724"/>
      <c r="F59" s="231">
        <v>456</v>
      </c>
      <c r="G59" s="222">
        <v>29700</v>
      </c>
      <c r="H59" s="223"/>
      <c r="I59" s="145">
        <f t="shared" si="14"/>
        <v>0.35</v>
      </c>
      <c r="J59" s="331">
        <f t="shared" si="15"/>
        <v>296.39999999999998</v>
      </c>
      <c r="K59" s="145"/>
      <c r="L59" s="331">
        <f t="shared" si="16"/>
        <v>0</v>
      </c>
      <c r="M59" s="224"/>
      <c r="N59" s="335">
        <v>6.0000000000000001E-3</v>
      </c>
      <c r="O59" s="367">
        <v>0.27</v>
      </c>
      <c r="S59" s="92"/>
      <c r="T59" s="92"/>
      <c r="U59" s="92"/>
    </row>
    <row r="60" spans="1:52" ht="45" customHeight="1">
      <c r="A60" s="380" t="s">
        <v>1146</v>
      </c>
      <c r="B60" s="716" t="s">
        <v>260</v>
      </c>
      <c r="C60" s="717"/>
      <c r="D60" s="718"/>
      <c r="E60" s="725"/>
      <c r="F60" s="231">
        <v>590</v>
      </c>
      <c r="G60" s="222">
        <v>38400</v>
      </c>
      <c r="H60" s="223"/>
      <c r="I60" s="145">
        <f t="shared" si="14"/>
        <v>0.35</v>
      </c>
      <c r="J60" s="331">
        <f t="shared" si="15"/>
        <v>383.5</v>
      </c>
      <c r="K60" s="145"/>
      <c r="L60" s="331">
        <f t="shared" si="16"/>
        <v>0</v>
      </c>
      <c r="M60" s="224"/>
      <c r="N60" s="335">
        <v>6.0000000000000001E-3</v>
      </c>
      <c r="O60" s="367">
        <v>0.27</v>
      </c>
      <c r="P60" s="77"/>
      <c r="Q60" s="77"/>
      <c r="S60" s="92"/>
      <c r="T60" s="92"/>
      <c r="U60" s="92"/>
    </row>
    <row r="61" spans="1:52" ht="45" customHeight="1">
      <c r="A61" s="380" t="s">
        <v>1389</v>
      </c>
      <c r="B61" s="716" t="s">
        <v>30</v>
      </c>
      <c r="C61" s="717"/>
      <c r="D61" s="718"/>
      <c r="E61" s="723" t="s">
        <v>517</v>
      </c>
      <c r="F61" s="231">
        <v>107</v>
      </c>
      <c r="G61" s="222">
        <v>7000</v>
      </c>
      <c r="H61" s="223"/>
      <c r="I61" s="145">
        <f t="shared" si="14"/>
        <v>0.35</v>
      </c>
      <c r="J61" s="331">
        <f t="shared" si="15"/>
        <v>69.550000000000011</v>
      </c>
      <c r="K61" s="145"/>
      <c r="L61" s="331">
        <f t="shared" si="16"/>
        <v>0</v>
      </c>
      <c r="M61" s="224"/>
      <c r="N61" s="335">
        <v>6.0000000000000001E-3</v>
      </c>
      <c r="O61" s="367">
        <v>0.27</v>
      </c>
      <c r="S61" s="92"/>
      <c r="T61" s="92"/>
      <c r="U61" s="92"/>
    </row>
    <row r="62" spans="1:52" ht="45" customHeight="1">
      <c r="A62" s="380" t="s">
        <v>1262</v>
      </c>
      <c r="B62" s="716" t="s">
        <v>30</v>
      </c>
      <c r="C62" s="717"/>
      <c r="D62" s="718"/>
      <c r="E62" s="725"/>
      <c r="F62" s="231">
        <v>147</v>
      </c>
      <c r="G62" s="222">
        <v>9600</v>
      </c>
      <c r="H62" s="223"/>
      <c r="I62" s="145">
        <f t="shared" si="14"/>
        <v>0.35</v>
      </c>
      <c r="J62" s="331">
        <f t="shared" si="15"/>
        <v>95.550000000000011</v>
      </c>
      <c r="K62" s="145"/>
      <c r="L62" s="331">
        <f t="shared" si="16"/>
        <v>0</v>
      </c>
      <c r="M62" s="224"/>
      <c r="N62" s="335">
        <v>3.0000000000000001E-3</v>
      </c>
      <c r="O62" s="367">
        <v>0.6</v>
      </c>
      <c r="S62" s="92"/>
      <c r="T62" s="92"/>
      <c r="U62" s="92"/>
    </row>
    <row r="63" spans="1:52" ht="21.75" customHeight="1">
      <c r="A63" s="380" t="s">
        <v>1390</v>
      </c>
      <c r="B63" s="716" t="s">
        <v>390</v>
      </c>
      <c r="C63" s="717"/>
      <c r="D63" s="718"/>
      <c r="E63" s="338" t="s">
        <v>453</v>
      </c>
      <c r="F63" s="231">
        <v>101</v>
      </c>
      <c r="G63" s="222">
        <v>6600</v>
      </c>
      <c r="H63" s="223"/>
      <c r="I63" s="145">
        <f t="shared" si="14"/>
        <v>0.35</v>
      </c>
      <c r="J63" s="331">
        <f t="shared" si="15"/>
        <v>65.650000000000006</v>
      </c>
      <c r="K63" s="145"/>
      <c r="L63" s="331">
        <f t="shared" si="16"/>
        <v>0</v>
      </c>
      <c r="M63" s="224"/>
      <c r="N63" s="335">
        <v>0.01</v>
      </c>
      <c r="O63" s="367">
        <v>1</v>
      </c>
      <c r="S63" s="92"/>
      <c r="T63" s="92"/>
      <c r="U63" s="92"/>
    </row>
    <row r="64" spans="1:52" ht="21.75" customHeight="1">
      <c r="A64" s="380" t="s">
        <v>1392</v>
      </c>
      <c r="B64" s="716" t="s">
        <v>379</v>
      </c>
      <c r="C64" s="717"/>
      <c r="D64" s="718"/>
      <c r="E64" s="338" t="s">
        <v>391</v>
      </c>
      <c r="F64" s="231">
        <v>79</v>
      </c>
      <c r="G64" s="222">
        <v>5200</v>
      </c>
      <c r="H64" s="223"/>
      <c r="I64" s="145">
        <f t="shared" si="14"/>
        <v>0.35</v>
      </c>
      <c r="J64" s="331">
        <f t="shared" si="15"/>
        <v>51.35</v>
      </c>
      <c r="K64" s="145"/>
      <c r="L64" s="331">
        <f t="shared" si="16"/>
        <v>0</v>
      </c>
      <c r="M64" s="224"/>
      <c r="N64" s="335">
        <v>1.0999999999999999E-2</v>
      </c>
      <c r="O64" s="367">
        <v>2</v>
      </c>
      <c r="S64" s="92"/>
      <c r="T64" s="92"/>
      <c r="U64" s="92"/>
    </row>
    <row r="65" spans="1:52" ht="21.75" customHeight="1">
      <c r="A65" s="380" t="s">
        <v>1393</v>
      </c>
      <c r="B65" s="716" t="s">
        <v>386</v>
      </c>
      <c r="C65" s="717"/>
      <c r="D65" s="718"/>
      <c r="E65" s="338" t="s">
        <v>387</v>
      </c>
      <c r="F65" s="231">
        <v>96</v>
      </c>
      <c r="G65" s="222">
        <v>6300</v>
      </c>
      <c r="H65" s="223"/>
      <c r="I65" s="145">
        <f t="shared" si="14"/>
        <v>0.35</v>
      </c>
      <c r="J65" s="331">
        <f t="shared" si="15"/>
        <v>62.400000000000006</v>
      </c>
      <c r="K65" s="145"/>
      <c r="L65" s="331">
        <f t="shared" si="16"/>
        <v>0</v>
      </c>
      <c r="M65" s="224"/>
      <c r="N65" s="335">
        <v>1.9E-2</v>
      </c>
      <c r="O65" s="367">
        <v>2</v>
      </c>
      <c r="S65" s="92"/>
      <c r="T65" s="92"/>
      <c r="U65" s="92"/>
    </row>
    <row r="66" spans="1:52" s="56" customFormat="1" ht="13.5" customHeight="1">
      <c r="A66" s="410" t="s">
        <v>535</v>
      </c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80"/>
      <c r="M66" s="80"/>
      <c r="N66" s="80"/>
      <c r="O66" s="428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</row>
    <row r="67" spans="1:52" s="56" customFormat="1" ht="13.5" customHeight="1">
      <c r="A67" s="709" t="str">
        <f>'Бытовая серия'!A186:Q186</f>
        <v>www.general-aircond.ru</v>
      </c>
      <c r="B67" s="710"/>
      <c r="C67" s="710"/>
      <c r="D67" s="710"/>
      <c r="E67" s="710"/>
      <c r="F67" s="710"/>
      <c r="G67" s="710"/>
      <c r="H67" s="710"/>
      <c r="I67" s="710"/>
      <c r="J67" s="710"/>
      <c r="K67" s="710"/>
      <c r="L67" s="710"/>
      <c r="M67" s="710"/>
      <c r="N67" s="710"/>
      <c r="O67" s="711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</row>
    <row r="68" spans="1:52" ht="13.5" customHeight="1">
      <c r="A68" s="698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/>
      <c r="N68" s="699"/>
      <c r="O68" s="700"/>
      <c r="P68" s="72"/>
      <c r="Q68" s="72"/>
    </row>
    <row r="69" spans="1:52" ht="13.5" customHeight="1">
      <c r="A69" s="701" t="str">
        <f>'Бытовая серия'!A188:Q188</f>
        <v>e-mail: Dealer@profcond.com</v>
      </c>
      <c r="B69" s="702"/>
      <c r="C69" s="702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3"/>
      <c r="P69" s="72"/>
      <c r="Q69" s="72"/>
    </row>
    <row r="70" spans="1:52" ht="13.5" customHeight="1">
      <c r="A70" s="690" t="str">
        <f>'Бытовая серия'!A189:Q189</f>
        <v>компания "АЯК-Москва"</v>
      </c>
      <c r="B70" s="720"/>
      <c r="C70" s="720"/>
      <c r="D70" s="720"/>
      <c r="E70" s="720"/>
      <c r="F70" s="720"/>
      <c r="G70" s="720"/>
      <c r="H70" s="720"/>
      <c r="I70" s="720"/>
      <c r="J70" s="720"/>
      <c r="K70" s="720"/>
      <c r="L70" s="720"/>
      <c r="M70" s="720"/>
      <c r="N70" s="720"/>
      <c r="O70" s="691"/>
      <c r="P70" s="72"/>
      <c r="Q70" s="72"/>
    </row>
    <row r="71" spans="1:52" ht="13.5" customHeight="1">
      <c r="A71" s="690" t="str">
        <f>'Бытовая серия'!A190:Q190</f>
        <v>111020, г. Москва, ул. 2-я Синичкина, д. 9А, Бизнес-центр Синица Плаза</v>
      </c>
      <c r="B71" s="720"/>
      <c r="C71" s="720"/>
      <c r="D71" s="720"/>
      <c r="E71" s="720"/>
      <c r="F71" s="720"/>
      <c r="G71" s="720"/>
      <c r="H71" s="720"/>
      <c r="I71" s="720"/>
      <c r="J71" s="720"/>
      <c r="K71" s="720"/>
      <c r="L71" s="720"/>
      <c r="M71" s="720"/>
      <c r="N71" s="720"/>
      <c r="O71" s="691"/>
      <c r="P71" s="72"/>
      <c r="Q71" s="72"/>
    </row>
    <row r="72" spans="1:52" ht="13.5" customHeight="1" thickBot="1">
      <c r="A72" s="692" t="str">
        <f>'Бытовая серия'!A191:Q191</f>
        <v>Тел./факс: 8-800-23456-05</v>
      </c>
      <c r="B72" s="693"/>
      <c r="C72" s="693"/>
      <c r="D72" s="693"/>
      <c r="E72" s="693"/>
      <c r="F72" s="693"/>
      <c r="G72" s="693"/>
      <c r="H72" s="693"/>
      <c r="I72" s="693"/>
      <c r="J72" s="693"/>
      <c r="K72" s="693"/>
      <c r="L72" s="693"/>
      <c r="M72" s="693"/>
      <c r="N72" s="693"/>
      <c r="O72" s="694"/>
      <c r="P72" s="72"/>
      <c r="Q72" s="72"/>
    </row>
    <row r="73" spans="1:52" s="57" customFormat="1" ht="5.4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28"/>
      <c r="M73" s="728"/>
      <c r="N73" s="728"/>
      <c r="O73" s="728"/>
      <c r="P73" s="70"/>
      <c r="Q73" s="70"/>
    </row>
    <row r="74" spans="1:52" s="57" customFormat="1">
      <c r="P74" s="70"/>
      <c r="Q74" s="70"/>
    </row>
    <row r="75" spans="1:52" s="57" customFormat="1"/>
    <row r="76" spans="1:52" s="57" customFormat="1"/>
    <row r="77" spans="1:52" s="57" customFormat="1"/>
    <row r="78" spans="1:52" s="57" customFormat="1"/>
    <row r="79" spans="1:52" s="57" customFormat="1"/>
    <row r="80" spans="1:52" s="57" customFormat="1"/>
    <row r="81" s="57" customFormat="1"/>
    <row r="82" s="57" customFormat="1"/>
    <row r="83" s="57" customFormat="1"/>
    <row r="84" s="57" customFormat="1"/>
    <row r="85" s="57" customFormat="1"/>
    <row r="86" s="57" customFormat="1"/>
    <row r="87" s="57" customFormat="1"/>
    <row r="88" s="57" customFormat="1"/>
    <row r="89" s="57" customFormat="1"/>
    <row r="90" s="57" customFormat="1"/>
    <row r="91" s="57" customFormat="1"/>
    <row r="92" s="57" customFormat="1"/>
    <row r="93" s="57" customFormat="1"/>
    <row r="94" s="57" customFormat="1"/>
    <row r="95" s="57" customFormat="1"/>
    <row r="96" s="57" customFormat="1"/>
    <row r="97" s="57" customFormat="1"/>
    <row r="98" s="57" customFormat="1"/>
    <row r="99" s="57" customFormat="1"/>
    <row r="100" s="57" customFormat="1"/>
    <row r="101" s="57" customFormat="1"/>
    <row r="102" s="57" customFormat="1"/>
    <row r="103" s="57" customFormat="1"/>
    <row r="104" s="57" customFormat="1"/>
    <row r="105" s="57" customFormat="1"/>
    <row r="106" s="57" customFormat="1"/>
    <row r="107" s="57" customFormat="1"/>
    <row r="108" s="57" customFormat="1"/>
    <row r="109" s="57" customFormat="1"/>
    <row r="110" s="57" customFormat="1"/>
    <row r="111" s="57" customFormat="1"/>
    <row r="112" s="57" customFormat="1"/>
    <row r="113" s="57" customFormat="1"/>
    <row r="114" s="57" customFormat="1"/>
    <row r="115" s="57" customFormat="1"/>
    <row r="116" s="57" customFormat="1"/>
    <row r="117" s="57" customFormat="1"/>
    <row r="118" s="57" customFormat="1"/>
    <row r="119" s="57" customFormat="1"/>
    <row r="120" s="57" customFormat="1"/>
    <row r="121" s="57" customFormat="1"/>
    <row r="122" s="57" customFormat="1"/>
    <row r="123" s="57" customFormat="1"/>
    <row r="124" s="57" customFormat="1"/>
    <row r="125" s="57" customFormat="1"/>
    <row r="126" s="57" customFormat="1"/>
    <row r="127" s="57" customFormat="1"/>
    <row r="128" s="57" customFormat="1"/>
    <row r="129" s="57" customFormat="1"/>
    <row r="130" s="57" customFormat="1"/>
    <row r="131" s="57" customFormat="1"/>
    <row r="132" s="57" customFormat="1"/>
    <row r="133" s="57" customFormat="1"/>
    <row r="134" s="57" customFormat="1"/>
    <row r="135" s="57" customFormat="1"/>
    <row r="136" s="57" customFormat="1"/>
    <row r="137" s="57" customFormat="1"/>
    <row r="138" s="57" customFormat="1"/>
    <row r="139" s="57" customFormat="1"/>
    <row r="140" s="57" customFormat="1"/>
    <row r="141" s="57" customFormat="1"/>
    <row r="142" s="57" customFormat="1"/>
    <row r="143" s="57" customFormat="1"/>
    <row r="144" s="57" customFormat="1"/>
    <row r="145" s="57" customFormat="1"/>
    <row r="146" s="57" customFormat="1"/>
    <row r="147" s="57" customFormat="1"/>
    <row r="148" s="57" customFormat="1"/>
    <row r="149" s="57" customFormat="1"/>
    <row r="150" s="57" customFormat="1"/>
    <row r="151" s="57" customFormat="1"/>
    <row r="152" s="57" customFormat="1"/>
    <row r="153" s="57" customFormat="1"/>
    <row r="154" s="57" customFormat="1"/>
    <row r="155" s="57" customFormat="1"/>
    <row r="156" s="57" customFormat="1"/>
    <row r="157" s="57" customFormat="1"/>
    <row r="158" s="57" customFormat="1"/>
    <row r="159" s="57" customFormat="1"/>
    <row r="160" s="57" customFormat="1"/>
    <row r="161" s="57" customFormat="1"/>
    <row r="162" s="57" customFormat="1"/>
    <row r="163" s="57" customFormat="1"/>
    <row r="164" s="57" customFormat="1"/>
    <row r="165" s="57" customFormat="1"/>
    <row r="166" s="57" customFormat="1"/>
    <row r="167" s="57" customFormat="1"/>
    <row r="168" s="57" customFormat="1"/>
    <row r="169" s="57" customFormat="1"/>
    <row r="170" s="57" customFormat="1"/>
    <row r="171" s="57" customFormat="1"/>
    <row r="172" s="57" customFormat="1"/>
    <row r="173" s="57" customFormat="1"/>
    <row r="174" s="57" customFormat="1"/>
    <row r="175" s="57" customFormat="1"/>
    <row r="176" s="57" customFormat="1"/>
    <row r="177" s="57" customFormat="1"/>
    <row r="178" s="57" customFormat="1"/>
    <row r="179" s="57" customFormat="1"/>
    <row r="180" s="57" customFormat="1"/>
    <row r="181" s="57" customFormat="1"/>
    <row r="182" s="57" customFormat="1"/>
    <row r="183" s="57" customFormat="1"/>
    <row r="184" s="57" customFormat="1"/>
    <row r="185" s="57" customFormat="1"/>
    <row r="186" s="57" customFormat="1"/>
    <row r="187" s="57" customFormat="1"/>
    <row r="188" s="57" customFormat="1"/>
    <row r="189" s="57" customFormat="1"/>
    <row r="190" s="57" customFormat="1"/>
    <row r="191" s="57" customFormat="1"/>
    <row r="192" s="57" customFormat="1"/>
    <row r="193" s="57" customFormat="1"/>
    <row r="194" s="57" customFormat="1"/>
    <row r="195" s="57" customFormat="1"/>
    <row r="196" s="57" customFormat="1"/>
    <row r="197" s="57" customFormat="1"/>
    <row r="198" s="57" customFormat="1"/>
    <row r="199" s="57" customFormat="1"/>
    <row r="200" s="57" customFormat="1"/>
    <row r="201" s="57" customFormat="1"/>
    <row r="202" s="57" customFormat="1"/>
    <row r="203" s="57" customFormat="1"/>
    <row r="204" s="57" customFormat="1"/>
    <row r="205" s="57" customFormat="1"/>
    <row r="206" s="57" customFormat="1"/>
    <row r="207" s="57" customFormat="1"/>
    <row r="208" s="57" customFormat="1"/>
    <row r="209" s="57" customFormat="1"/>
    <row r="210" s="57" customFormat="1"/>
    <row r="211" s="57" customFormat="1"/>
    <row r="212" s="57" customFormat="1"/>
    <row r="213" s="57" customFormat="1"/>
    <row r="214" s="57" customFormat="1"/>
    <row r="215" s="57" customFormat="1"/>
    <row r="216" s="57" customFormat="1"/>
    <row r="217" s="57" customFormat="1"/>
    <row r="218" s="57" customFormat="1"/>
    <row r="219" s="57" customFormat="1"/>
    <row r="220" s="57" customFormat="1"/>
    <row r="221" s="57" customFormat="1"/>
    <row r="222" s="57" customFormat="1"/>
    <row r="223" s="57" customFormat="1"/>
    <row r="224" s="57" customFormat="1"/>
    <row r="225" s="57" customFormat="1"/>
    <row r="226" s="57" customFormat="1"/>
    <row r="227" s="57" customFormat="1"/>
    <row r="228" s="57" customFormat="1"/>
    <row r="229" s="57" customFormat="1"/>
    <row r="230" s="57" customFormat="1"/>
    <row r="231" s="57" customFormat="1"/>
    <row r="232" s="57" customFormat="1"/>
    <row r="233" s="57" customFormat="1"/>
    <row r="234" s="57" customFormat="1"/>
    <row r="235" s="57" customFormat="1"/>
  </sheetData>
  <customSheetViews>
    <customSheetView guid="{FA833650-9147-48FF-9246-B3943D91CD8D}" scale="70" showPageBreaks="1" printArea="1" hiddenColumns="1" view="pageBreakPreview">
      <pane ySplit="7" topLeftCell="A63" activePane="bottomLeft" state="frozen"/>
      <selection pane="bottomLeft" activeCell="M101" sqref="M101"/>
      <pageMargins left="0.25" right="0.25" top="0.75" bottom="0.75" header="0.3" footer="0.3"/>
      <pageSetup paperSize="9" scale="47" orientation="portrait" r:id="rId1"/>
    </customSheetView>
  </customSheetViews>
  <mergeCells count="86">
    <mergeCell ref="E26:E27"/>
    <mergeCell ref="J26:J27"/>
    <mergeCell ref="A28:A29"/>
    <mergeCell ref="C28:C29"/>
    <mergeCell ref="D28:D29"/>
    <mergeCell ref="E28:E29"/>
    <mergeCell ref="J28:J29"/>
    <mergeCell ref="J20:J21"/>
    <mergeCell ref="A24:A25"/>
    <mergeCell ref="C24:C25"/>
    <mergeCell ref="D24:D25"/>
    <mergeCell ref="E24:E25"/>
    <mergeCell ref="J24:J25"/>
    <mergeCell ref="A22:A23"/>
    <mergeCell ref="C30:C31"/>
    <mergeCell ref="D30:D31"/>
    <mergeCell ref="A20:A21"/>
    <mergeCell ref="C22:C23"/>
    <mergeCell ref="D22:D23"/>
    <mergeCell ref="A26:A27"/>
    <mergeCell ref="C26:C27"/>
    <mergeCell ref="D26:D27"/>
    <mergeCell ref="F5:F7"/>
    <mergeCell ref="E5:E7"/>
    <mergeCell ref="A5:A7"/>
    <mergeCell ref="D6:D7"/>
    <mergeCell ref="I4:O4"/>
    <mergeCell ref="O5:O7"/>
    <mergeCell ref="C5:D5"/>
    <mergeCell ref="B5:B7"/>
    <mergeCell ref="C6:C7"/>
    <mergeCell ref="G5:G7"/>
    <mergeCell ref="I5:I7"/>
    <mergeCell ref="J5:J7"/>
    <mergeCell ref="L5:L7"/>
    <mergeCell ref="K5:K7"/>
    <mergeCell ref="H5:H7"/>
    <mergeCell ref="K2:N2"/>
    <mergeCell ref="M5:M7"/>
    <mergeCell ref="M3:N3"/>
    <mergeCell ref="J3:K3"/>
    <mergeCell ref="N5:N7"/>
    <mergeCell ref="A72:O72"/>
    <mergeCell ref="L73:O73"/>
    <mergeCell ref="J22:J23"/>
    <mergeCell ref="J30:J31"/>
    <mergeCell ref="A71:O71"/>
    <mergeCell ref="A33:O33"/>
    <mergeCell ref="A67:O67"/>
    <mergeCell ref="A68:O68"/>
    <mergeCell ref="A69:O69"/>
    <mergeCell ref="B50:D50"/>
    <mergeCell ref="B48:E48"/>
    <mergeCell ref="A32:O32"/>
    <mergeCell ref="E61:E62"/>
    <mergeCell ref="B51:D51"/>
    <mergeCell ref="B52:D52"/>
    <mergeCell ref="A30:A31"/>
    <mergeCell ref="A18:O18"/>
    <mergeCell ref="A8:K8"/>
    <mergeCell ref="A9:O9"/>
    <mergeCell ref="A70:O70"/>
    <mergeCell ref="D20:D21"/>
    <mergeCell ref="C20:C21"/>
    <mergeCell ref="E58:E60"/>
    <mergeCell ref="E54:E56"/>
    <mergeCell ref="B58:D58"/>
    <mergeCell ref="E30:E31"/>
    <mergeCell ref="A41:O41"/>
    <mergeCell ref="A19:O19"/>
    <mergeCell ref="E20:E21"/>
    <mergeCell ref="E22:E23"/>
    <mergeCell ref="A49:N49"/>
    <mergeCell ref="A40:O40"/>
    <mergeCell ref="B53:D53"/>
    <mergeCell ref="B54:D54"/>
    <mergeCell ref="B55:D55"/>
    <mergeCell ref="B56:D56"/>
    <mergeCell ref="B57:D57"/>
    <mergeCell ref="B64:D64"/>
    <mergeCell ref="B65:D65"/>
    <mergeCell ref="B59:D59"/>
    <mergeCell ref="B60:D60"/>
    <mergeCell ref="B61:D61"/>
    <mergeCell ref="B62:D62"/>
    <mergeCell ref="B63:D63"/>
  </mergeCells>
  <conditionalFormatting sqref="A67:A72">
    <cfRule type="duplicateValues" dxfId="57" priority="21" stopIfTrue="1"/>
  </conditionalFormatting>
  <conditionalFormatting sqref="A64:A65 A58:A62">
    <cfRule type="duplicateValues" dxfId="56" priority="20" stopIfTrue="1"/>
  </conditionalFormatting>
  <conditionalFormatting sqref="A54">
    <cfRule type="duplicateValues" dxfId="55" priority="17" stopIfTrue="1"/>
    <cfRule type="duplicateValues" dxfId="54" priority="18" stopIfTrue="1"/>
  </conditionalFormatting>
  <conditionalFormatting sqref="A54">
    <cfRule type="duplicateValues" dxfId="53" priority="19" stopIfTrue="1"/>
  </conditionalFormatting>
  <conditionalFormatting sqref="A55">
    <cfRule type="duplicateValues" dxfId="52" priority="16" stopIfTrue="1"/>
  </conditionalFormatting>
  <conditionalFormatting sqref="A55">
    <cfRule type="duplicateValues" dxfId="51" priority="14" stopIfTrue="1"/>
    <cfRule type="duplicateValues" dxfId="50" priority="15" stopIfTrue="1"/>
  </conditionalFormatting>
  <conditionalFormatting sqref="A56">
    <cfRule type="duplicateValues" dxfId="49" priority="13" stopIfTrue="1"/>
  </conditionalFormatting>
  <conditionalFormatting sqref="A57">
    <cfRule type="duplicateValues" dxfId="48" priority="12" stopIfTrue="1"/>
  </conditionalFormatting>
  <conditionalFormatting sqref="A63">
    <cfRule type="duplicateValues" dxfId="47" priority="11" stopIfTrue="1"/>
  </conditionalFormatting>
  <hyperlinks>
    <hyperlink ref="A67" r:id="rId2" display="www.general-russia.ru"/>
  </hyperlinks>
  <pageMargins left="0.25" right="0.25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31"/>
  <sheetViews>
    <sheetView view="pageBreakPreview" zoomScale="80" zoomScaleNormal="80" zoomScaleSheetLayoutView="80" workbookViewId="0">
      <pane xSplit="17" ySplit="6" topLeftCell="R7" activePane="bottomRight" state="frozen"/>
      <selection pane="topRight" activeCell="R1" sqref="R1"/>
      <selection pane="bottomLeft" activeCell="A7" sqref="A7"/>
      <selection pane="bottomRight" activeCell="I10" sqref="I10:I11"/>
    </sheetView>
  </sheetViews>
  <sheetFormatPr defaultRowHeight="12.5"/>
  <cols>
    <col min="1" max="1" width="28.54296875" customWidth="1"/>
    <col min="2" max="2" width="19.54296875" customWidth="1"/>
    <col min="6" max="6" width="13.453125" customWidth="1"/>
    <col min="7" max="7" width="11.6328125" customWidth="1"/>
    <col min="8" max="8" width="12.453125" customWidth="1"/>
    <col min="9" max="9" width="11.08984375" customWidth="1"/>
    <col min="12" max="12" width="11.08984375" customWidth="1"/>
    <col min="13" max="13" width="11.90625" customWidth="1"/>
    <col min="14" max="14" width="11.54296875" customWidth="1"/>
    <col min="15" max="15" width="14.90625" customWidth="1"/>
  </cols>
  <sheetData>
    <row r="1" spans="1:44" ht="37.5">
      <c r="A1" s="203"/>
      <c r="B1" s="203"/>
      <c r="C1" s="204"/>
      <c r="D1" s="203"/>
      <c r="E1" s="209"/>
      <c r="F1" s="203"/>
      <c r="G1" s="210"/>
      <c r="H1" s="203"/>
      <c r="I1" s="203"/>
      <c r="J1" s="203"/>
      <c r="K1" s="206"/>
      <c r="L1" s="206"/>
      <c r="M1" s="206"/>
      <c r="N1" s="206"/>
      <c r="O1" s="206"/>
      <c r="P1" s="494" t="s">
        <v>479</v>
      </c>
      <c r="Q1" s="208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</row>
    <row r="2" spans="1:44" ht="35.5" thickBot="1">
      <c r="A2" s="203"/>
      <c r="B2" s="203"/>
      <c r="C2" s="204"/>
      <c r="D2" s="205"/>
      <c r="E2" s="203"/>
      <c r="F2" s="203"/>
      <c r="G2" s="203"/>
      <c r="H2" s="203"/>
      <c r="I2" s="203"/>
      <c r="J2" s="203"/>
      <c r="K2" s="206"/>
      <c r="L2" s="206"/>
      <c r="M2" s="206"/>
      <c r="N2" s="207"/>
      <c r="O2" s="206"/>
      <c r="P2" s="208"/>
      <c r="Q2" s="214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1:44" ht="19" thickBot="1">
      <c r="A3" s="36"/>
      <c r="B3" s="495" t="s">
        <v>1682</v>
      </c>
      <c r="C3" s="496">
        <v>0.27</v>
      </c>
      <c r="D3" s="497"/>
      <c r="E3" s="498"/>
      <c r="F3" s="36"/>
      <c r="G3" s="495" t="s">
        <v>1683</v>
      </c>
      <c r="H3" s="496">
        <v>0.35</v>
      </c>
      <c r="I3" s="499"/>
      <c r="J3" s="500" t="s">
        <v>480</v>
      </c>
      <c r="K3" s="501">
        <f>SUM(N10:N124)</f>
        <v>0</v>
      </c>
      <c r="L3" s="774" t="s">
        <v>900</v>
      </c>
      <c r="M3" s="774"/>
      <c r="N3" s="134">
        <f>SUMPRODUCT(J10:J124,P10:P124)</f>
        <v>0</v>
      </c>
      <c r="O3" s="774" t="s">
        <v>478</v>
      </c>
      <c r="P3" s="774"/>
      <c r="Q3" s="134">
        <f>SUMPRODUCT(J10:J124,Q10:Q124)</f>
        <v>0</v>
      </c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4" spans="1:44" ht="13">
      <c r="A4" s="190"/>
      <c r="B4" s="191"/>
      <c r="C4" s="117"/>
      <c r="D4" s="192"/>
      <c r="E4" s="192"/>
      <c r="F4" s="192"/>
      <c r="G4" s="192"/>
      <c r="H4" s="193"/>
      <c r="I4" s="193"/>
      <c r="J4" s="117"/>
      <c r="K4" s="117"/>
      <c r="L4" s="117"/>
      <c r="M4" s="117"/>
      <c r="N4" s="117"/>
      <c r="O4" s="117"/>
      <c r="P4" s="117"/>
      <c r="Q4" s="17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</row>
    <row r="5" spans="1:44" ht="21" customHeight="1">
      <c r="A5" s="575" t="s">
        <v>47</v>
      </c>
      <c r="B5" s="489" t="s">
        <v>26</v>
      </c>
      <c r="C5" s="577" t="s">
        <v>48</v>
      </c>
      <c r="D5" s="577"/>
      <c r="E5" s="577" t="s">
        <v>85</v>
      </c>
      <c r="F5" s="577"/>
      <c r="G5" s="571" t="s">
        <v>492</v>
      </c>
      <c r="H5" s="578" t="s">
        <v>493</v>
      </c>
      <c r="I5" s="563" t="s">
        <v>740</v>
      </c>
      <c r="J5" s="580" t="s">
        <v>28</v>
      </c>
      <c r="K5" s="561" t="s">
        <v>22</v>
      </c>
      <c r="L5" s="559" t="s">
        <v>490</v>
      </c>
      <c r="M5" s="573" t="s">
        <v>491</v>
      </c>
      <c r="N5" s="559" t="s">
        <v>27</v>
      </c>
      <c r="O5" s="572" t="s">
        <v>318</v>
      </c>
      <c r="P5" s="572" t="s">
        <v>23</v>
      </c>
      <c r="Q5" s="557" t="s">
        <v>24</v>
      </c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</row>
    <row r="6" spans="1:44" ht="33" customHeight="1">
      <c r="A6" s="575"/>
      <c r="B6" s="489" t="s">
        <v>25</v>
      </c>
      <c r="C6" s="490" t="s">
        <v>49</v>
      </c>
      <c r="D6" s="490" t="s">
        <v>50</v>
      </c>
      <c r="E6" s="490" t="s">
        <v>86</v>
      </c>
      <c r="F6" s="490" t="s">
        <v>87</v>
      </c>
      <c r="G6" s="551"/>
      <c r="H6" s="775"/>
      <c r="I6" s="776"/>
      <c r="J6" s="580"/>
      <c r="K6" s="561"/>
      <c r="L6" s="559"/>
      <c r="M6" s="573"/>
      <c r="N6" s="559"/>
      <c r="O6" s="551"/>
      <c r="P6" s="551"/>
      <c r="Q6" s="551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</row>
    <row r="7" spans="1:44" ht="45" customHeight="1" thickBot="1">
      <c r="A7" s="777" t="s">
        <v>1684</v>
      </c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9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</row>
    <row r="8" spans="1:44" ht="18.5">
      <c r="A8" s="620" t="s">
        <v>80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502"/>
      <c r="O8" s="503"/>
      <c r="P8" s="120"/>
      <c r="Q8" s="504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</row>
    <row r="9" spans="1:44" ht="27" customHeight="1">
      <c r="A9" s="538" t="s">
        <v>1685</v>
      </c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44" ht="14.5">
      <c r="A10" s="780" t="s">
        <v>1686</v>
      </c>
      <c r="B10" s="143" t="s">
        <v>660</v>
      </c>
      <c r="C10" s="782" t="s">
        <v>902</v>
      </c>
      <c r="D10" s="782" t="s">
        <v>931</v>
      </c>
      <c r="E10" s="783" t="s">
        <v>662</v>
      </c>
      <c r="F10" s="783" t="s">
        <v>663</v>
      </c>
      <c r="G10" s="619">
        <f>H10+H11</f>
        <v>624</v>
      </c>
      <c r="H10" s="493">
        <v>235</v>
      </c>
      <c r="I10" s="532">
        <f>41800+2800</f>
        <v>44600</v>
      </c>
      <c r="J10" s="139"/>
      <c r="K10" s="505">
        <f>IF($C$3&gt;55.7%,56.111111%,$C$3)</f>
        <v>0.27</v>
      </c>
      <c r="L10" s="550">
        <f>SUM(G10-(G10*K10))</f>
        <v>455.52</v>
      </c>
      <c r="M10" s="146">
        <f t="shared" ref="M10:M15" si="0">SUM(H10-(H10*K10))</f>
        <v>171.55</v>
      </c>
      <c r="N10" s="358">
        <f t="shared" ref="N10:N15" si="1">M10*J10</f>
        <v>0</v>
      </c>
      <c r="O10" s="141" t="s">
        <v>330</v>
      </c>
      <c r="P10" s="478">
        <v>7.0999999999999994E-2</v>
      </c>
      <c r="Q10" s="506">
        <v>9.5</v>
      </c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</row>
    <row r="11" spans="1:44" ht="14.5">
      <c r="A11" s="781"/>
      <c r="B11" s="143" t="s">
        <v>1687</v>
      </c>
      <c r="C11" s="544"/>
      <c r="D11" s="544"/>
      <c r="E11" s="783"/>
      <c r="F11" s="783"/>
      <c r="G11" s="534"/>
      <c r="H11" s="493">
        <f>351+38</f>
        <v>389</v>
      </c>
      <c r="I11" s="532"/>
      <c r="J11" s="139"/>
      <c r="K11" s="505">
        <f>IF($C$3&gt;55.7%,55.925926%,$C$3)</f>
        <v>0.27</v>
      </c>
      <c r="L11" s="550"/>
      <c r="M11" s="146">
        <f t="shared" si="0"/>
        <v>283.97000000000003</v>
      </c>
      <c r="N11" s="358">
        <f t="shared" si="1"/>
        <v>0</v>
      </c>
      <c r="O11" s="141" t="s">
        <v>331</v>
      </c>
      <c r="P11" s="478">
        <v>0.19500000000000001</v>
      </c>
      <c r="Q11" s="506">
        <v>27</v>
      </c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</row>
    <row r="12" spans="1:44" ht="14.5">
      <c r="A12" s="780" t="s">
        <v>1688</v>
      </c>
      <c r="B12" s="143" t="s">
        <v>659</v>
      </c>
      <c r="C12" s="782" t="s">
        <v>904</v>
      </c>
      <c r="D12" s="782" t="s">
        <v>932</v>
      </c>
      <c r="E12" s="783" t="s">
        <v>113</v>
      </c>
      <c r="F12" s="783" t="s">
        <v>629</v>
      </c>
      <c r="G12" s="619">
        <f>H12+H13</f>
        <v>651</v>
      </c>
      <c r="H12" s="493">
        <v>245</v>
      </c>
      <c r="I12" s="532">
        <f>43700+2800</f>
        <v>46500</v>
      </c>
      <c r="J12" s="139"/>
      <c r="K12" s="505">
        <f>IF($C$3&gt;55.7%,56.032172%,$C$3)</f>
        <v>0.27</v>
      </c>
      <c r="L12" s="550">
        <f>SUM(G12-(G12*K12))</f>
        <v>475.23</v>
      </c>
      <c r="M12" s="146">
        <f t="shared" si="0"/>
        <v>178.85</v>
      </c>
      <c r="N12" s="358">
        <f t="shared" si="1"/>
        <v>0</v>
      </c>
      <c r="O12" s="141" t="s">
        <v>330</v>
      </c>
      <c r="P12" s="478">
        <v>7.0999999999999994E-2</v>
      </c>
      <c r="Q12" s="506">
        <v>9.5</v>
      </c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</row>
    <row r="13" spans="1:44" ht="14.5">
      <c r="A13" s="781"/>
      <c r="B13" s="143" t="s">
        <v>1689</v>
      </c>
      <c r="C13" s="544"/>
      <c r="D13" s="544"/>
      <c r="E13" s="783"/>
      <c r="F13" s="783"/>
      <c r="G13" s="534"/>
      <c r="H13" s="493">
        <f>368+38</f>
        <v>406</v>
      </c>
      <c r="I13" s="532"/>
      <c r="J13" s="139"/>
      <c r="K13" s="505">
        <f>IF($C$3&gt;55.7%,56.049822%,$C$3)</f>
        <v>0.27</v>
      </c>
      <c r="L13" s="550"/>
      <c r="M13" s="146">
        <f t="shared" si="0"/>
        <v>296.38</v>
      </c>
      <c r="N13" s="358">
        <f t="shared" si="1"/>
        <v>0</v>
      </c>
      <c r="O13" s="141" t="s">
        <v>331</v>
      </c>
      <c r="P13" s="478">
        <v>0.19500000000000001</v>
      </c>
      <c r="Q13" s="506">
        <v>27</v>
      </c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</row>
    <row r="14" spans="1:44" ht="14.5">
      <c r="A14" s="780" t="s">
        <v>1690</v>
      </c>
      <c r="B14" s="143" t="s">
        <v>661</v>
      </c>
      <c r="C14" s="782" t="s">
        <v>933</v>
      </c>
      <c r="D14" s="782" t="s">
        <v>934</v>
      </c>
      <c r="E14" s="783" t="s">
        <v>664</v>
      </c>
      <c r="F14" s="783" t="s">
        <v>665</v>
      </c>
      <c r="G14" s="619">
        <f>H14+H15</f>
        <v>724</v>
      </c>
      <c r="H14" s="493">
        <v>274</v>
      </c>
      <c r="I14" s="532">
        <f>48900+2800</f>
        <v>51700</v>
      </c>
      <c r="J14" s="139"/>
      <c r="K14" s="505">
        <f>IF($C$3&gt;55.7%,55.773956%,$C$3)</f>
        <v>0.27</v>
      </c>
      <c r="L14" s="550">
        <f>SUM(G14-(G14*K14))</f>
        <v>528.52</v>
      </c>
      <c r="M14" s="146">
        <f t="shared" si="0"/>
        <v>200.01999999999998</v>
      </c>
      <c r="N14" s="358">
        <f t="shared" si="1"/>
        <v>0</v>
      </c>
      <c r="O14" s="141" t="s">
        <v>330</v>
      </c>
      <c r="P14" s="478">
        <v>7.0999999999999994E-2</v>
      </c>
      <c r="Q14" s="506">
        <v>9.5</v>
      </c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</row>
    <row r="15" spans="1:44" ht="14.5">
      <c r="A15" s="781"/>
      <c r="B15" s="143" t="s">
        <v>1691</v>
      </c>
      <c r="C15" s="544"/>
      <c r="D15" s="544"/>
      <c r="E15" s="783"/>
      <c r="F15" s="783"/>
      <c r="G15" s="534"/>
      <c r="H15" s="493">
        <f>412+38</f>
        <v>450</v>
      </c>
      <c r="I15" s="532"/>
      <c r="J15" s="139"/>
      <c r="K15" s="505">
        <f>IF($C$3&gt;55.7%,56.117455%,$C$3)</f>
        <v>0.27</v>
      </c>
      <c r="L15" s="550"/>
      <c r="M15" s="146">
        <f t="shared" si="0"/>
        <v>328.5</v>
      </c>
      <c r="N15" s="358">
        <f t="shared" si="1"/>
        <v>0</v>
      </c>
      <c r="O15" s="141" t="s">
        <v>331</v>
      </c>
      <c r="P15" s="478">
        <v>0.19500000000000001</v>
      </c>
      <c r="Q15" s="506">
        <v>28</v>
      </c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</row>
    <row r="16" spans="1:44" ht="40.5" customHeight="1" thickBot="1">
      <c r="A16" s="777" t="s">
        <v>1692</v>
      </c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9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</row>
    <row r="17" spans="1:44" ht="18.5">
      <c r="A17" s="620" t="s">
        <v>80</v>
      </c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119"/>
      <c r="O17" s="120"/>
      <c r="P17" s="120"/>
      <c r="Q17" s="504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ht="23.25" customHeight="1">
      <c r="A18" s="538" t="s">
        <v>1693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</row>
    <row r="19" spans="1:44" ht="15.75" customHeight="1">
      <c r="A19" s="780" t="s">
        <v>1694</v>
      </c>
      <c r="B19" s="143" t="s">
        <v>252</v>
      </c>
      <c r="C19" s="543" t="s">
        <v>940</v>
      </c>
      <c r="D19" s="543" t="s">
        <v>941</v>
      </c>
      <c r="E19" s="556" t="s">
        <v>137</v>
      </c>
      <c r="F19" s="556" t="s">
        <v>145</v>
      </c>
      <c r="G19" s="619">
        <f>H19+H20</f>
        <v>1282</v>
      </c>
      <c r="H19" s="144">
        <v>478</v>
      </c>
      <c r="I19" s="532">
        <f>90900+2800</f>
        <v>93700</v>
      </c>
      <c r="J19" s="139"/>
      <c r="K19" s="145">
        <f t="shared" ref="K19:K24" si="2">$C$3</f>
        <v>0.27</v>
      </c>
      <c r="L19" s="550">
        <f>SUM(G19-(G19*K19))</f>
        <v>935.8599999999999</v>
      </c>
      <c r="M19" s="146">
        <f t="shared" ref="M19:M24" si="3">SUM(H19-(H19*K19))</f>
        <v>348.94</v>
      </c>
      <c r="N19" s="358">
        <f t="shared" ref="N19:N24" si="4">J19*M19</f>
        <v>0</v>
      </c>
      <c r="O19" s="147" t="s">
        <v>327</v>
      </c>
      <c r="P19" s="478">
        <v>0.154</v>
      </c>
      <c r="Q19" s="506">
        <v>18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</row>
    <row r="20" spans="1:44" ht="14.5">
      <c r="A20" s="781"/>
      <c r="B20" s="143" t="s">
        <v>1695</v>
      </c>
      <c r="C20" s="544"/>
      <c r="D20" s="544"/>
      <c r="E20" s="556"/>
      <c r="F20" s="556"/>
      <c r="G20" s="619"/>
      <c r="H20" s="144">
        <f>766+38</f>
        <v>804</v>
      </c>
      <c r="I20" s="532"/>
      <c r="J20" s="139"/>
      <c r="K20" s="145">
        <f t="shared" si="2"/>
        <v>0.27</v>
      </c>
      <c r="L20" s="550"/>
      <c r="M20" s="146">
        <f t="shared" si="3"/>
        <v>586.91999999999996</v>
      </c>
      <c r="N20" s="358">
        <f t="shared" si="4"/>
        <v>0</v>
      </c>
      <c r="O20" s="492" t="s">
        <v>323</v>
      </c>
      <c r="P20" s="478">
        <v>0.26600000000000001</v>
      </c>
      <c r="Q20" s="506">
        <v>45</v>
      </c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</row>
    <row r="21" spans="1:44" ht="14.5">
      <c r="A21" s="780" t="s">
        <v>1696</v>
      </c>
      <c r="B21" s="143" t="s">
        <v>1</v>
      </c>
      <c r="C21" s="543" t="s">
        <v>919</v>
      </c>
      <c r="D21" s="543" t="s">
        <v>942</v>
      </c>
      <c r="E21" s="535" t="s">
        <v>113</v>
      </c>
      <c r="F21" s="535" t="s">
        <v>114</v>
      </c>
      <c r="G21" s="619">
        <f>H21+H22</f>
        <v>1586</v>
      </c>
      <c r="H21" s="146">
        <v>781</v>
      </c>
      <c r="I21" s="532">
        <f>113100+2800</f>
        <v>115900</v>
      </c>
      <c r="J21" s="139"/>
      <c r="K21" s="145">
        <f t="shared" si="2"/>
        <v>0.27</v>
      </c>
      <c r="L21" s="550">
        <f>SUM(G21-(G21*K21))</f>
        <v>1157.78</v>
      </c>
      <c r="M21" s="146">
        <f t="shared" si="3"/>
        <v>570.13</v>
      </c>
      <c r="N21" s="358">
        <f t="shared" si="4"/>
        <v>0</v>
      </c>
      <c r="O21" s="147" t="s">
        <v>327</v>
      </c>
      <c r="P21" s="478">
        <v>0.154</v>
      </c>
      <c r="Q21" s="506">
        <v>18</v>
      </c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</row>
    <row r="22" spans="1:44" ht="14.5">
      <c r="A22" s="781"/>
      <c r="B22" s="143" t="s">
        <v>1697</v>
      </c>
      <c r="C22" s="544"/>
      <c r="D22" s="544"/>
      <c r="E22" s="535"/>
      <c r="F22" s="535"/>
      <c r="G22" s="619"/>
      <c r="H22" s="146">
        <f>767+38</f>
        <v>805</v>
      </c>
      <c r="I22" s="532"/>
      <c r="J22" s="139"/>
      <c r="K22" s="145">
        <f t="shared" si="2"/>
        <v>0.27</v>
      </c>
      <c r="L22" s="550"/>
      <c r="M22" s="146">
        <f t="shared" si="3"/>
        <v>587.65</v>
      </c>
      <c r="N22" s="358">
        <f t="shared" si="4"/>
        <v>0</v>
      </c>
      <c r="O22" s="492" t="s">
        <v>323</v>
      </c>
      <c r="P22" s="478">
        <v>0.26600000000000001</v>
      </c>
      <c r="Q22" s="506">
        <v>45</v>
      </c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</row>
    <row r="23" spans="1:44" ht="14.5">
      <c r="A23" s="780" t="s">
        <v>1698</v>
      </c>
      <c r="B23" s="143" t="s">
        <v>295</v>
      </c>
      <c r="C23" s="543" t="s">
        <v>943</v>
      </c>
      <c r="D23" s="543" t="s">
        <v>944</v>
      </c>
      <c r="E23" s="535" t="s">
        <v>115</v>
      </c>
      <c r="F23" s="535" t="s">
        <v>116</v>
      </c>
      <c r="G23" s="619">
        <f>H23+H24</f>
        <v>1900</v>
      </c>
      <c r="H23" s="146">
        <v>950</v>
      </c>
      <c r="I23" s="532">
        <f>136000+2800</f>
        <v>138800</v>
      </c>
      <c r="J23" s="139"/>
      <c r="K23" s="145">
        <f t="shared" si="2"/>
        <v>0.27</v>
      </c>
      <c r="L23" s="550">
        <f>SUM(G23-(G23*K23))</f>
        <v>1387</v>
      </c>
      <c r="M23" s="146">
        <f t="shared" si="3"/>
        <v>693.5</v>
      </c>
      <c r="N23" s="358">
        <f t="shared" si="4"/>
        <v>0</v>
      </c>
      <c r="O23" s="141" t="s">
        <v>327</v>
      </c>
      <c r="P23" s="478">
        <v>0.151</v>
      </c>
      <c r="Q23" s="506">
        <v>18</v>
      </c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</row>
    <row r="24" spans="1:44" ht="14.5">
      <c r="A24" s="781"/>
      <c r="B24" s="143" t="s">
        <v>1699</v>
      </c>
      <c r="C24" s="544"/>
      <c r="D24" s="544"/>
      <c r="E24" s="535"/>
      <c r="F24" s="535"/>
      <c r="G24" s="619"/>
      <c r="H24" s="146">
        <f>912+38</f>
        <v>950</v>
      </c>
      <c r="I24" s="532"/>
      <c r="J24" s="139"/>
      <c r="K24" s="145">
        <f t="shared" si="2"/>
        <v>0.27</v>
      </c>
      <c r="L24" s="550"/>
      <c r="M24" s="146">
        <f t="shared" si="3"/>
        <v>693.5</v>
      </c>
      <c r="N24" s="358">
        <f t="shared" si="4"/>
        <v>0</v>
      </c>
      <c r="O24" s="492" t="s">
        <v>323</v>
      </c>
      <c r="P24" s="478">
        <v>0.25</v>
      </c>
      <c r="Q24" s="506">
        <v>48</v>
      </c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spans="1:44" ht="48" customHeight="1" thickBot="1">
      <c r="A25" s="777" t="s">
        <v>577</v>
      </c>
      <c r="B25" s="778"/>
      <c r="C25" s="778"/>
      <c r="D25" s="778"/>
      <c r="E25" s="778"/>
      <c r="F25" s="778"/>
      <c r="G25" s="778"/>
      <c r="H25" s="778"/>
      <c r="I25" s="778"/>
      <c r="J25" s="778"/>
      <c r="K25" s="778"/>
      <c r="L25" s="778"/>
      <c r="M25" s="778"/>
      <c r="N25" s="778"/>
      <c r="O25" s="778"/>
      <c r="P25" s="778"/>
      <c r="Q25" s="779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</row>
    <row r="26" spans="1:44" ht="18.5">
      <c r="A26" s="620" t="s">
        <v>80</v>
      </c>
      <c r="B26" s="618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8"/>
      <c r="N26" s="119"/>
      <c r="O26" s="120"/>
      <c r="P26" s="120"/>
      <c r="Q26" s="504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</row>
    <row r="27" spans="1:44" ht="20.25" customHeight="1">
      <c r="A27" s="538" t="s">
        <v>1700</v>
      </c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</row>
    <row r="28" spans="1:44" ht="14.5">
      <c r="A28" s="780" t="s">
        <v>1701</v>
      </c>
      <c r="B28" s="135" t="s">
        <v>578</v>
      </c>
      <c r="C28" s="540" t="s">
        <v>945</v>
      </c>
      <c r="D28" s="540" t="s">
        <v>946</v>
      </c>
      <c r="E28" s="555" t="s">
        <v>581</v>
      </c>
      <c r="F28" s="555" t="s">
        <v>582</v>
      </c>
      <c r="G28" s="619">
        <f>H28+H29</f>
        <v>3825</v>
      </c>
      <c r="H28" s="146">
        <v>1515</v>
      </c>
      <c r="I28" s="532">
        <f>256100+2800</f>
        <v>258900</v>
      </c>
      <c r="J28" s="139"/>
      <c r="K28" s="145">
        <f>$H$3</f>
        <v>0.35</v>
      </c>
      <c r="L28" s="550">
        <f>SUM(G28-(G28*K28))</f>
        <v>2486.25</v>
      </c>
      <c r="M28" s="146">
        <f>SUM(H28-(H28*K28))</f>
        <v>984.75</v>
      </c>
      <c r="N28" s="358">
        <f>J28*M28</f>
        <v>0</v>
      </c>
      <c r="O28" s="141" t="s">
        <v>635</v>
      </c>
      <c r="P28" s="142">
        <v>0.23</v>
      </c>
      <c r="Q28" s="507">
        <v>18</v>
      </c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</row>
    <row r="29" spans="1:44" ht="14.5">
      <c r="A29" s="781"/>
      <c r="B29" s="135" t="s">
        <v>1702</v>
      </c>
      <c r="C29" s="541"/>
      <c r="D29" s="541"/>
      <c r="E29" s="555"/>
      <c r="F29" s="555"/>
      <c r="G29" s="534"/>
      <c r="H29" s="146">
        <f>2272+38</f>
        <v>2310</v>
      </c>
      <c r="I29" s="532"/>
      <c r="J29" s="139"/>
      <c r="K29" s="145">
        <f t="shared" ref="K29:K31" si="5">$H$3</f>
        <v>0.35</v>
      </c>
      <c r="L29" s="550"/>
      <c r="M29" s="146">
        <f>SUM(H29-(H29*K29))</f>
        <v>1501.5</v>
      </c>
      <c r="N29" s="358">
        <f>J29*M29</f>
        <v>0</v>
      </c>
      <c r="O29" s="141" t="s">
        <v>320</v>
      </c>
      <c r="P29" s="142">
        <v>0.45300000000000001</v>
      </c>
      <c r="Q29" s="507">
        <v>61</v>
      </c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</row>
    <row r="30" spans="1:44" ht="14.5">
      <c r="A30" s="780" t="s">
        <v>1703</v>
      </c>
      <c r="B30" s="135" t="s">
        <v>580</v>
      </c>
      <c r="C30" s="540" t="s">
        <v>948</v>
      </c>
      <c r="D30" s="540" t="s">
        <v>949</v>
      </c>
      <c r="E30" s="555" t="s">
        <v>583</v>
      </c>
      <c r="F30" s="555" t="s">
        <v>136</v>
      </c>
      <c r="G30" s="619">
        <f>H30+H31</f>
        <v>4769</v>
      </c>
      <c r="H30" s="146">
        <v>1891</v>
      </c>
      <c r="I30" s="532">
        <f>319900+2800</f>
        <v>322700</v>
      </c>
      <c r="J30" s="139"/>
      <c r="K30" s="145">
        <f t="shared" si="5"/>
        <v>0.35</v>
      </c>
      <c r="L30" s="550">
        <f>SUM(G30-(G30*K30))</f>
        <v>3099.8500000000004</v>
      </c>
      <c r="M30" s="146">
        <f>SUM(H30-(H30*K30))</f>
        <v>1229.1500000000001</v>
      </c>
      <c r="N30" s="358">
        <f>J30*M30</f>
        <v>0</v>
      </c>
      <c r="O30" s="141" t="s">
        <v>635</v>
      </c>
      <c r="P30" s="142">
        <v>0.23</v>
      </c>
      <c r="Q30" s="507">
        <v>18</v>
      </c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</row>
    <row r="31" spans="1:44" ht="14.5">
      <c r="A31" s="781"/>
      <c r="B31" s="135" t="s">
        <v>1704</v>
      </c>
      <c r="C31" s="541"/>
      <c r="D31" s="541"/>
      <c r="E31" s="555"/>
      <c r="F31" s="555"/>
      <c r="G31" s="534"/>
      <c r="H31" s="146">
        <f>2840+38</f>
        <v>2878</v>
      </c>
      <c r="I31" s="532"/>
      <c r="J31" s="139"/>
      <c r="K31" s="145">
        <f t="shared" si="5"/>
        <v>0.35</v>
      </c>
      <c r="L31" s="550"/>
      <c r="M31" s="146">
        <f>SUM(H31-(H31*K31))</f>
        <v>1870.7</v>
      </c>
      <c r="N31" s="358">
        <f>J31*M31</f>
        <v>0</v>
      </c>
      <c r="O31" s="141" t="s">
        <v>320</v>
      </c>
      <c r="P31" s="142">
        <v>0.45300000000000001</v>
      </c>
      <c r="Q31" s="507">
        <v>61</v>
      </c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</row>
    <row r="32" spans="1:44" s="7" customFormat="1" ht="47.25" customHeight="1">
      <c r="A32" s="784" t="s">
        <v>998</v>
      </c>
      <c r="B32" s="653"/>
      <c r="C32" s="653"/>
      <c r="D32" s="653"/>
      <c r="E32" s="653"/>
      <c r="F32" s="653"/>
      <c r="G32" s="653"/>
      <c r="H32" s="653"/>
      <c r="I32" s="653"/>
      <c r="J32" s="653"/>
      <c r="K32" s="653"/>
      <c r="L32" s="653"/>
      <c r="M32" s="653"/>
      <c r="N32" s="149"/>
      <c r="O32" s="150"/>
      <c r="P32" s="150"/>
      <c r="Q32" s="508"/>
      <c r="R32" s="57"/>
      <c r="S32" s="57"/>
      <c r="T32" s="92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</row>
    <row r="33" spans="1:44" s="7" customFormat="1" ht="25.5" customHeight="1">
      <c r="A33" s="538" t="s">
        <v>1705</v>
      </c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  <c r="R33" s="57"/>
      <c r="S33" s="57"/>
      <c r="T33" s="92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</row>
    <row r="34" spans="1:44" s="7" customFormat="1" ht="15" customHeight="1">
      <c r="A34" s="780" t="s">
        <v>1706</v>
      </c>
      <c r="B34" s="135" t="s">
        <v>61</v>
      </c>
      <c r="C34" s="540" t="s">
        <v>999</v>
      </c>
      <c r="D34" s="540" t="s">
        <v>1000</v>
      </c>
      <c r="E34" s="555" t="s">
        <v>131</v>
      </c>
      <c r="F34" s="555" t="s">
        <v>132</v>
      </c>
      <c r="G34" s="631">
        <f>H34+H35+H36</f>
        <v>1856</v>
      </c>
      <c r="H34" s="146">
        <v>923</v>
      </c>
      <c r="I34" s="532">
        <f>123300+2800</f>
        <v>126100</v>
      </c>
      <c r="J34" s="170"/>
      <c r="K34" s="145">
        <f>$H$3</f>
        <v>0.35</v>
      </c>
      <c r="L34" s="550">
        <f>SUM(G34-(G34*K34))</f>
        <v>1206.4000000000001</v>
      </c>
      <c r="M34" s="146">
        <f t="shared" ref="M34:M45" si="6">SUM(H34-(H34*K34))</f>
        <v>599.95000000000005</v>
      </c>
      <c r="N34" s="358">
        <f t="shared" ref="N34:N42" si="7">J34*M34</f>
        <v>0</v>
      </c>
      <c r="O34" s="491" t="s">
        <v>339</v>
      </c>
      <c r="P34" s="478">
        <v>0.12</v>
      </c>
      <c r="Q34" s="506">
        <v>18</v>
      </c>
      <c r="R34" s="57"/>
      <c r="S34" s="57"/>
      <c r="T34" s="92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</row>
    <row r="35" spans="1:44" s="7" customFormat="1" ht="15" customHeight="1">
      <c r="A35" s="780"/>
      <c r="B35" s="135" t="s">
        <v>1707</v>
      </c>
      <c r="C35" s="540"/>
      <c r="D35" s="540"/>
      <c r="E35" s="555"/>
      <c r="F35" s="555"/>
      <c r="G35" s="631"/>
      <c r="H35" s="146">
        <f>812+38</f>
        <v>850</v>
      </c>
      <c r="I35" s="532"/>
      <c r="J35" s="170"/>
      <c r="K35" s="145">
        <f t="shared" ref="K35:K45" si="8">$H$3</f>
        <v>0.35</v>
      </c>
      <c r="L35" s="550"/>
      <c r="M35" s="146">
        <f t="shared" si="6"/>
        <v>552.5</v>
      </c>
      <c r="N35" s="358">
        <f t="shared" si="7"/>
        <v>0</v>
      </c>
      <c r="O35" s="491" t="s">
        <v>319</v>
      </c>
      <c r="P35" s="478">
        <v>0.249</v>
      </c>
      <c r="Q35" s="506">
        <v>44</v>
      </c>
      <c r="R35" s="57"/>
      <c r="S35" s="57"/>
      <c r="T35" s="92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</row>
    <row r="36" spans="1:44" s="7" customFormat="1" ht="15" customHeight="1">
      <c r="A36" s="780"/>
      <c r="B36" s="135" t="s">
        <v>1708</v>
      </c>
      <c r="C36" s="540"/>
      <c r="D36" s="540"/>
      <c r="E36" s="555"/>
      <c r="F36" s="555"/>
      <c r="G36" s="631"/>
      <c r="H36" s="146">
        <v>83</v>
      </c>
      <c r="I36" s="532"/>
      <c r="J36" s="170"/>
      <c r="K36" s="145">
        <f t="shared" si="8"/>
        <v>0.35</v>
      </c>
      <c r="L36" s="550"/>
      <c r="M36" s="146">
        <f t="shared" si="6"/>
        <v>53.95</v>
      </c>
      <c r="N36" s="358">
        <f t="shared" si="7"/>
        <v>0</v>
      </c>
      <c r="O36" s="491" t="s">
        <v>340</v>
      </c>
      <c r="P36" s="478">
        <v>6.9000000000000006E-2</v>
      </c>
      <c r="Q36" s="506">
        <v>4.5</v>
      </c>
      <c r="R36" s="57"/>
      <c r="S36" s="57"/>
      <c r="T36" s="92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</row>
    <row r="37" spans="1:44" s="7" customFormat="1" ht="15" customHeight="1">
      <c r="A37" s="780" t="s">
        <v>1709</v>
      </c>
      <c r="B37" s="135" t="s">
        <v>63</v>
      </c>
      <c r="C37" s="540" t="s">
        <v>1001</v>
      </c>
      <c r="D37" s="540" t="s">
        <v>1002</v>
      </c>
      <c r="E37" s="555" t="s">
        <v>89</v>
      </c>
      <c r="F37" s="555" t="s">
        <v>133</v>
      </c>
      <c r="G37" s="631">
        <f>H37+H38+H39</f>
        <v>2140</v>
      </c>
      <c r="H37" s="146">
        <v>1110</v>
      </c>
      <c r="I37" s="532">
        <f>142300+2800</f>
        <v>145100</v>
      </c>
      <c r="J37" s="170"/>
      <c r="K37" s="145">
        <f t="shared" si="8"/>
        <v>0.35</v>
      </c>
      <c r="L37" s="550">
        <f>SUM(G37-(G37*K37))</f>
        <v>1391</v>
      </c>
      <c r="M37" s="146">
        <f t="shared" si="6"/>
        <v>721.5</v>
      </c>
      <c r="N37" s="358">
        <f t="shared" si="7"/>
        <v>0</v>
      </c>
      <c r="O37" s="491" t="s">
        <v>339</v>
      </c>
      <c r="P37" s="478">
        <v>0.12</v>
      </c>
      <c r="Q37" s="506">
        <v>18</v>
      </c>
      <c r="R37" s="57"/>
      <c r="S37" s="57"/>
      <c r="T37" s="92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</row>
    <row r="38" spans="1:44" s="7" customFormat="1" ht="15" customHeight="1">
      <c r="A38" s="780"/>
      <c r="B38" s="135" t="s">
        <v>1710</v>
      </c>
      <c r="C38" s="540"/>
      <c r="D38" s="540"/>
      <c r="E38" s="555"/>
      <c r="F38" s="555"/>
      <c r="G38" s="631"/>
      <c r="H38" s="146">
        <f>909+38</f>
        <v>947</v>
      </c>
      <c r="I38" s="532"/>
      <c r="J38" s="170"/>
      <c r="K38" s="145">
        <f t="shared" si="8"/>
        <v>0.35</v>
      </c>
      <c r="L38" s="550"/>
      <c r="M38" s="146">
        <f t="shared" si="6"/>
        <v>615.54999999999995</v>
      </c>
      <c r="N38" s="358">
        <f t="shared" si="7"/>
        <v>0</v>
      </c>
      <c r="O38" s="491" t="s">
        <v>319</v>
      </c>
      <c r="P38" s="478">
        <v>0.249</v>
      </c>
      <c r="Q38" s="506">
        <v>44</v>
      </c>
      <c r="R38" s="57"/>
      <c r="S38" s="57"/>
      <c r="T38" s="92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</row>
    <row r="39" spans="1:44" s="7" customFormat="1" ht="15" customHeight="1">
      <c r="A39" s="780"/>
      <c r="B39" s="135" t="s">
        <v>1708</v>
      </c>
      <c r="C39" s="540"/>
      <c r="D39" s="540"/>
      <c r="E39" s="555"/>
      <c r="F39" s="555"/>
      <c r="G39" s="631"/>
      <c r="H39" s="146">
        <v>83</v>
      </c>
      <c r="I39" s="532"/>
      <c r="J39" s="170"/>
      <c r="K39" s="145">
        <f t="shared" si="8"/>
        <v>0.35</v>
      </c>
      <c r="L39" s="550"/>
      <c r="M39" s="146">
        <f t="shared" si="6"/>
        <v>53.95</v>
      </c>
      <c r="N39" s="358">
        <f t="shared" si="7"/>
        <v>0</v>
      </c>
      <c r="O39" s="491" t="s">
        <v>340</v>
      </c>
      <c r="P39" s="478">
        <v>6.9000000000000006E-2</v>
      </c>
      <c r="Q39" s="506">
        <v>4.5</v>
      </c>
      <c r="R39" s="57"/>
      <c r="S39" s="57"/>
      <c r="T39" s="92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</row>
    <row r="40" spans="1:44" s="7" customFormat="1" ht="15" customHeight="1">
      <c r="A40" s="780" t="s">
        <v>1711</v>
      </c>
      <c r="B40" s="135" t="s">
        <v>65</v>
      </c>
      <c r="C40" s="540" t="s">
        <v>1003</v>
      </c>
      <c r="D40" s="540" t="s">
        <v>1004</v>
      </c>
      <c r="E40" s="555" t="s">
        <v>89</v>
      </c>
      <c r="F40" s="555" t="s">
        <v>116</v>
      </c>
      <c r="G40" s="631">
        <f>H40+H41+H42</f>
        <v>2311</v>
      </c>
      <c r="H40" s="146">
        <v>1226</v>
      </c>
      <c r="I40" s="532">
        <f>153800+2800</f>
        <v>156600</v>
      </c>
      <c r="J40" s="170"/>
      <c r="K40" s="145">
        <f t="shared" si="8"/>
        <v>0.35</v>
      </c>
      <c r="L40" s="550">
        <f>SUM(G40-(G40*K40))</f>
        <v>1502.15</v>
      </c>
      <c r="M40" s="146">
        <f t="shared" si="6"/>
        <v>796.90000000000009</v>
      </c>
      <c r="N40" s="358">
        <f t="shared" si="7"/>
        <v>0</v>
      </c>
      <c r="O40" s="491" t="s">
        <v>339</v>
      </c>
      <c r="P40" s="478">
        <v>0.12</v>
      </c>
      <c r="Q40" s="509">
        <v>18</v>
      </c>
      <c r="R40" s="57"/>
      <c r="S40" s="57"/>
      <c r="T40" s="92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</row>
    <row r="41" spans="1:44" s="7" customFormat="1" ht="15" customHeight="1">
      <c r="A41" s="780"/>
      <c r="B41" s="135" t="s">
        <v>1743</v>
      </c>
      <c r="C41" s="540"/>
      <c r="D41" s="540"/>
      <c r="E41" s="555"/>
      <c r="F41" s="555"/>
      <c r="G41" s="631"/>
      <c r="H41" s="146">
        <f>964+38</f>
        <v>1002</v>
      </c>
      <c r="I41" s="532"/>
      <c r="J41" s="170"/>
      <c r="K41" s="145">
        <f t="shared" si="8"/>
        <v>0.35</v>
      </c>
      <c r="L41" s="550"/>
      <c r="M41" s="146">
        <f t="shared" si="6"/>
        <v>651.29999999999995</v>
      </c>
      <c r="N41" s="358">
        <f t="shared" si="7"/>
        <v>0</v>
      </c>
      <c r="O41" s="491" t="s">
        <v>319</v>
      </c>
      <c r="P41" s="478">
        <v>0.249</v>
      </c>
      <c r="Q41" s="509">
        <v>44</v>
      </c>
      <c r="R41" s="57"/>
      <c r="S41" s="57"/>
      <c r="T41" s="92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</row>
    <row r="42" spans="1:44" s="7" customFormat="1" ht="15" customHeight="1">
      <c r="A42" s="780"/>
      <c r="B42" s="135" t="s">
        <v>1708</v>
      </c>
      <c r="C42" s="540"/>
      <c r="D42" s="540"/>
      <c r="E42" s="555"/>
      <c r="F42" s="555"/>
      <c r="G42" s="631"/>
      <c r="H42" s="146">
        <v>83</v>
      </c>
      <c r="I42" s="532"/>
      <c r="J42" s="170"/>
      <c r="K42" s="145">
        <f t="shared" si="8"/>
        <v>0.35</v>
      </c>
      <c r="L42" s="550"/>
      <c r="M42" s="146">
        <f t="shared" si="6"/>
        <v>53.95</v>
      </c>
      <c r="N42" s="358">
        <f t="shared" si="7"/>
        <v>0</v>
      </c>
      <c r="O42" s="491" t="s">
        <v>340</v>
      </c>
      <c r="P42" s="478">
        <v>6.9000000000000006E-2</v>
      </c>
      <c r="Q42" s="509">
        <v>4.5</v>
      </c>
      <c r="R42" s="57"/>
      <c r="S42" s="57"/>
      <c r="T42" s="92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</row>
    <row r="43" spans="1:44" s="65" customFormat="1" ht="15" customHeight="1">
      <c r="A43" s="780" t="s">
        <v>1712</v>
      </c>
      <c r="B43" s="143" t="s">
        <v>200</v>
      </c>
      <c r="C43" s="632" t="s">
        <v>1005</v>
      </c>
      <c r="D43" s="632" t="s">
        <v>1006</v>
      </c>
      <c r="E43" s="535" t="s">
        <v>89</v>
      </c>
      <c r="F43" s="535" t="s">
        <v>116</v>
      </c>
      <c r="G43" s="631">
        <f>H43+H44+H45</f>
        <v>2547</v>
      </c>
      <c r="H43" s="146">
        <v>1523</v>
      </c>
      <c r="I43" s="532">
        <f>169800+2800</f>
        <v>172600</v>
      </c>
      <c r="J43" s="170"/>
      <c r="K43" s="145">
        <f t="shared" si="8"/>
        <v>0.35</v>
      </c>
      <c r="L43" s="550">
        <f>SUM(G43-(G43*K43))</f>
        <v>1655.5500000000002</v>
      </c>
      <c r="M43" s="146">
        <f t="shared" si="6"/>
        <v>989.95</v>
      </c>
      <c r="N43" s="358">
        <f>J43*M43</f>
        <v>0</v>
      </c>
      <c r="O43" s="491" t="s">
        <v>339</v>
      </c>
      <c r="P43" s="478">
        <v>0.12</v>
      </c>
      <c r="Q43" s="509">
        <v>20</v>
      </c>
      <c r="R43" s="63"/>
      <c r="S43" s="63"/>
      <c r="T43" s="92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s="66" customFormat="1" ht="15" customHeight="1">
      <c r="A44" s="780"/>
      <c r="B44" s="143" t="s">
        <v>1713</v>
      </c>
      <c r="C44" s="543"/>
      <c r="D44" s="543"/>
      <c r="E44" s="535"/>
      <c r="F44" s="535"/>
      <c r="G44" s="631"/>
      <c r="H44" s="146">
        <f>903+38</f>
        <v>941</v>
      </c>
      <c r="I44" s="532"/>
      <c r="J44" s="170"/>
      <c r="K44" s="145">
        <f t="shared" si="8"/>
        <v>0.35</v>
      </c>
      <c r="L44" s="550"/>
      <c r="M44" s="146">
        <f t="shared" si="6"/>
        <v>611.65000000000009</v>
      </c>
      <c r="N44" s="358">
        <f>J44*M44</f>
        <v>0</v>
      </c>
      <c r="O44" s="491" t="s">
        <v>328</v>
      </c>
      <c r="P44" s="478">
        <v>0.249</v>
      </c>
      <c r="Q44" s="509">
        <v>48</v>
      </c>
      <c r="R44" s="64"/>
      <c r="S44" s="64"/>
      <c r="T44" s="92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</row>
    <row r="45" spans="1:44" s="66" customFormat="1" ht="15" customHeight="1">
      <c r="A45" s="780"/>
      <c r="B45" s="143" t="s">
        <v>1708</v>
      </c>
      <c r="C45" s="543"/>
      <c r="D45" s="543"/>
      <c r="E45" s="535"/>
      <c r="F45" s="535"/>
      <c r="G45" s="631"/>
      <c r="H45" s="146">
        <v>83</v>
      </c>
      <c r="I45" s="532"/>
      <c r="J45" s="170"/>
      <c r="K45" s="145">
        <f t="shared" si="8"/>
        <v>0.35</v>
      </c>
      <c r="L45" s="550"/>
      <c r="M45" s="146">
        <f t="shared" si="6"/>
        <v>53.95</v>
      </c>
      <c r="N45" s="358">
        <f>J45*M45</f>
        <v>0</v>
      </c>
      <c r="O45" s="491" t="s">
        <v>340</v>
      </c>
      <c r="P45" s="478">
        <v>6.9000000000000006E-2</v>
      </c>
      <c r="Q45" s="509">
        <v>4.5</v>
      </c>
      <c r="R45" s="64"/>
      <c r="S45" s="64"/>
      <c r="T45" s="92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</row>
    <row r="46" spans="1:44" s="7" customFormat="1" ht="44.25" customHeight="1">
      <c r="A46" s="784" t="s">
        <v>1007</v>
      </c>
      <c r="B46" s="653"/>
      <c r="C46" s="653"/>
      <c r="D46" s="653"/>
      <c r="E46" s="653"/>
      <c r="F46" s="653"/>
      <c r="G46" s="653"/>
      <c r="H46" s="653"/>
      <c r="I46" s="653"/>
      <c r="J46" s="653"/>
      <c r="K46" s="653"/>
      <c r="L46" s="653"/>
      <c r="M46" s="653"/>
      <c r="N46" s="149"/>
      <c r="O46" s="150"/>
      <c r="P46" s="150"/>
      <c r="Q46" s="508"/>
      <c r="R46" s="57"/>
      <c r="S46" s="57"/>
      <c r="T46" s="92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</row>
    <row r="47" spans="1:44" s="7" customFormat="1" ht="36.75" customHeight="1">
      <c r="A47" s="538" t="s">
        <v>160</v>
      </c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7"/>
      <c r="S47" s="57"/>
      <c r="T47" s="92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</row>
    <row r="48" spans="1:44" s="66" customFormat="1" ht="15" customHeight="1">
      <c r="A48" s="780" t="s">
        <v>1714</v>
      </c>
      <c r="B48" s="135" t="s">
        <v>283</v>
      </c>
      <c r="C48" s="543" t="s">
        <v>990</v>
      </c>
      <c r="D48" s="543" t="s">
        <v>991</v>
      </c>
      <c r="E48" s="535" t="s">
        <v>89</v>
      </c>
      <c r="F48" s="535" t="s">
        <v>116</v>
      </c>
      <c r="G48" s="631">
        <f>H48+H49+H50</f>
        <v>3777</v>
      </c>
      <c r="H48" s="146">
        <v>1988</v>
      </c>
      <c r="I48" s="532">
        <f>252900+2800</f>
        <v>255700</v>
      </c>
      <c r="J48" s="170"/>
      <c r="K48" s="145">
        <f t="shared" ref="K48:K68" si="9">$H$3</f>
        <v>0.35</v>
      </c>
      <c r="L48" s="550">
        <f>SUM(G48-(G48*K48))</f>
        <v>2455.0500000000002</v>
      </c>
      <c r="M48" s="146">
        <f t="shared" ref="M48:M68" si="10">SUM(H48-(H48*K48))</f>
        <v>1292.2</v>
      </c>
      <c r="N48" s="358">
        <f>J48*M48</f>
        <v>0</v>
      </c>
      <c r="O48" s="491" t="s">
        <v>341</v>
      </c>
      <c r="P48" s="478">
        <v>0.34</v>
      </c>
      <c r="Q48" s="509">
        <v>32</v>
      </c>
      <c r="R48" s="64"/>
      <c r="S48" s="64"/>
      <c r="T48" s="92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</row>
    <row r="49" spans="1:57" s="7" customFormat="1" ht="15" customHeight="1">
      <c r="A49" s="780"/>
      <c r="B49" s="135" t="s">
        <v>1715</v>
      </c>
      <c r="C49" s="543"/>
      <c r="D49" s="543"/>
      <c r="E49" s="535"/>
      <c r="F49" s="535"/>
      <c r="G49" s="631"/>
      <c r="H49" s="146">
        <f>1668+38</f>
        <v>1706</v>
      </c>
      <c r="I49" s="532"/>
      <c r="J49" s="170"/>
      <c r="K49" s="145">
        <f t="shared" si="9"/>
        <v>0.35</v>
      </c>
      <c r="L49" s="550"/>
      <c r="M49" s="146">
        <f t="shared" si="10"/>
        <v>1108.9000000000001</v>
      </c>
      <c r="N49" s="358">
        <f>J49*M49</f>
        <v>0</v>
      </c>
      <c r="O49" s="491" t="s">
        <v>320</v>
      </c>
      <c r="P49" s="478">
        <v>0.45300000000000001</v>
      </c>
      <c r="Q49" s="509">
        <v>68</v>
      </c>
      <c r="R49" s="57"/>
      <c r="S49" s="57"/>
      <c r="T49" s="92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</row>
    <row r="50" spans="1:57" s="7" customFormat="1" ht="15" customHeight="1">
      <c r="A50" s="780"/>
      <c r="B50" s="135" t="s">
        <v>1716</v>
      </c>
      <c r="C50" s="543"/>
      <c r="D50" s="543"/>
      <c r="E50" s="535"/>
      <c r="F50" s="535"/>
      <c r="G50" s="631"/>
      <c r="H50" s="146">
        <v>83</v>
      </c>
      <c r="I50" s="532"/>
      <c r="J50" s="170"/>
      <c r="K50" s="145">
        <f t="shared" si="9"/>
        <v>0.35</v>
      </c>
      <c r="L50" s="550"/>
      <c r="M50" s="146">
        <f t="shared" si="10"/>
        <v>53.95</v>
      </c>
      <c r="N50" s="358">
        <f>J50*M50</f>
        <v>0</v>
      </c>
      <c r="O50" s="491" t="s">
        <v>342</v>
      </c>
      <c r="P50" s="478">
        <v>0.11700000000000001</v>
      </c>
      <c r="Q50" s="509">
        <v>8.5</v>
      </c>
      <c r="R50" s="57"/>
      <c r="S50" s="57"/>
      <c r="T50" s="92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</row>
    <row r="51" spans="1:57" s="68" customFormat="1" ht="15" customHeight="1">
      <c r="A51" s="780" t="s">
        <v>1717</v>
      </c>
      <c r="B51" s="135" t="s">
        <v>284</v>
      </c>
      <c r="C51" s="543" t="s">
        <v>1008</v>
      </c>
      <c r="D51" s="543" t="s">
        <v>1009</v>
      </c>
      <c r="E51" s="535" t="s">
        <v>89</v>
      </c>
      <c r="F51" s="535" t="s">
        <v>133</v>
      </c>
      <c r="G51" s="631">
        <f>H51+H52+H53</f>
        <v>4311</v>
      </c>
      <c r="H51" s="146">
        <v>2162</v>
      </c>
      <c r="I51" s="532">
        <f>289000+2800</f>
        <v>291800</v>
      </c>
      <c r="J51" s="170"/>
      <c r="K51" s="145">
        <f t="shared" si="9"/>
        <v>0.35</v>
      </c>
      <c r="L51" s="550">
        <f>SUM(G51-(G51*K51))</f>
        <v>2802.15</v>
      </c>
      <c r="M51" s="146">
        <f t="shared" si="10"/>
        <v>1405.3000000000002</v>
      </c>
      <c r="N51" s="358">
        <f>J51*M51</f>
        <v>0</v>
      </c>
      <c r="O51" s="491" t="s">
        <v>341</v>
      </c>
      <c r="P51" s="478">
        <v>0.34</v>
      </c>
      <c r="Q51" s="509">
        <v>32</v>
      </c>
      <c r="R51" s="64"/>
      <c r="S51" s="64"/>
      <c r="T51" s="92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</row>
    <row r="52" spans="1:57" s="68" customFormat="1" ht="15" customHeight="1">
      <c r="A52" s="780"/>
      <c r="B52" s="135" t="s">
        <v>1718</v>
      </c>
      <c r="C52" s="543"/>
      <c r="D52" s="543"/>
      <c r="E52" s="535"/>
      <c r="F52" s="535"/>
      <c r="G52" s="631"/>
      <c r="H52" s="146">
        <f>2028+38</f>
        <v>2066</v>
      </c>
      <c r="I52" s="532"/>
      <c r="J52" s="170"/>
      <c r="K52" s="145">
        <f t="shared" si="9"/>
        <v>0.35</v>
      </c>
      <c r="L52" s="550"/>
      <c r="M52" s="146">
        <f t="shared" si="10"/>
        <v>1342.9</v>
      </c>
      <c r="N52" s="358">
        <f t="shared" ref="N52:N65" si="11">J52*M52</f>
        <v>0</v>
      </c>
      <c r="O52" s="491" t="s">
        <v>320</v>
      </c>
      <c r="P52" s="478">
        <v>0.45300000000000001</v>
      </c>
      <c r="Q52" s="509">
        <v>68</v>
      </c>
      <c r="R52" s="64"/>
      <c r="S52" s="64"/>
      <c r="T52" s="92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</row>
    <row r="53" spans="1:57" s="69" customFormat="1" ht="15" customHeight="1">
      <c r="A53" s="780"/>
      <c r="B53" s="135" t="s">
        <v>1716</v>
      </c>
      <c r="C53" s="543"/>
      <c r="D53" s="543"/>
      <c r="E53" s="535"/>
      <c r="F53" s="535"/>
      <c r="G53" s="631"/>
      <c r="H53" s="146">
        <v>83</v>
      </c>
      <c r="I53" s="532"/>
      <c r="J53" s="170"/>
      <c r="K53" s="145">
        <f t="shared" si="9"/>
        <v>0.35</v>
      </c>
      <c r="L53" s="550"/>
      <c r="M53" s="146">
        <f t="shared" si="10"/>
        <v>53.95</v>
      </c>
      <c r="N53" s="358">
        <f t="shared" si="11"/>
        <v>0</v>
      </c>
      <c r="O53" s="491" t="s">
        <v>342</v>
      </c>
      <c r="P53" s="478">
        <v>0.11700000000000001</v>
      </c>
      <c r="Q53" s="509">
        <v>8.5</v>
      </c>
      <c r="R53" s="57"/>
      <c r="S53" s="57"/>
      <c r="T53" s="92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</row>
    <row r="54" spans="1:57" s="7" customFormat="1" ht="15" customHeight="1">
      <c r="A54" s="780" t="s">
        <v>1719</v>
      </c>
      <c r="B54" s="135" t="s">
        <v>183</v>
      </c>
      <c r="C54" s="543" t="s">
        <v>1010</v>
      </c>
      <c r="D54" s="543" t="s">
        <v>1011</v>
      </c>
      <c r="E54" s="535" t="s">
        <v>204</v>
      </c>
      <c r="F54" s="535" t="s">
        <v>112</v>
      </c>
      <c r="G54" s="631">
        <f>H54+H55+H56</f>
        <v>4559</v>
      </c>
      <c r="H54" s="146">
        <v>2162</v>
      </c>
      <c r="I54" s="532">
        <f>305800+2800</f>
        <v>308600</v>
      </c>
      <c r="J54" s="170"/>
      <c r="K54" s="145">
        <f t="shared" si="9"/>
        <v>0.35</v>
      </c>
      <c r="L54" s="550">
        <f>SUM(G54-(G54*K54))</f>
        <v>2963.3500000000004</v>
      </c>
      <c r="M54" s="146">
        <f t="shared" si="10"/>
        <v>1405.3000000000002</v>
      </c>
      <c r="N54" s="358">
        <f t="shared" si="11"/>
        <v>0</v>
      </c>
      <c r="O54" s="491" t="s">
        <v>341</v>
      </c>
      <c r="P54" s="478">
        <v>0.34</v>
      </c>
      <c r="Q54" s="509">
        <v>31</v>
      </c>
      <c r="R54" s="57"/>
      <c r="S54" s="57"/>
      <c r="T54" s="92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</row>
    <row r="55" spans="1:57" s="7" customFormat="1" ht="15" customHeight="1">
      <c r="A55" s="780"/>
      <c r="B55" s="135" t="s">
        <v>1720</v>
      </c>
      <c r="C55" s="543"/>
      <c r="D55" s="543"/>
      <c r="E55" s="535"/>
      <c r="F55" s="535"/>
      <c r="G55" s="631"/>
      <c r="H55" s="146">
        <f>2276+38</f>
        <v>2314</v>
      </c>
      <c r="I55" s="532"/>
      <c r="J55" s="170"/>
      <c r="K55" s="145">
        <f t="shared" si="9"/>
        <v>0.35</v>
      </c>
      <c r="L55" s="550"/>
      <c r="M55" s="146">
        <f t="shared" si="10"/>
        <v>1504.1</v>
      </c>
      <c r="N55" s="358">
        <f t="shared" si="11"/>
        <v>0</v>
      </c>
      <c r="O55" s="491" t="s">
        <v>334</v>
      </c>
      <c r="P55" s="478">
        <v>0.66900000000000004</v>
      </c>
      <c r="Q55" s="509">
        <v>113</v>
      </c>
      <c r="R55" s="57"/>
      <c r="S55" s="57"/>
      <c r="T55" s="92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</row>
    <row r="56" spans="1:57" s="7" customFormat="1" ht="15" customHeight="1">
      <c r="A56" s="780"/>
      <c r="B56" s="135" t="s">
        <v>1716</v>
      </c>
      <c r="C56" s="543"/>
      <c r="D56" s="543"/>
      <c r="E56" s="535"/>
      <c r="F56" s="535"/>
      <c r="G56" s="631"/>
      <c r="H56" s="146">
        <v>83</v>
      </c>
      <c r="I56" s="532"/>
      <c r="J56" s="170"/>
      <c r="K56" s="145">
        <f t="shared" si="9"/>
        <v>0.35</v>
      </c>
      <c r="L56" s="550"/>
      <c r="M56" s="146">
        <f t="shared" si="10"/>
        <v>53.95</v>
      </c>
      <c r="N56" s="358">
        <f t="shared" si="11"/>
        <v>0</v>
      </c>
      <c r="O56" s="491" t="s">
        <v>342</v>
      </c>
      <c r="P56" s="478">
        <v>0.11700000000000001</v>
      </c>
      <c r="Q56" s="509">
        <v>8.5</v>
      </c>
      <c r="R56" s="57"/>
      <c r="S56" s="57"/>
      <c r="T56" s="92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</row>
    <row r="57" spans="1:57" s="66" customFormat="1" ht="15" customHeight="1">
      <c r="A57" s="780" t="s">
        <v>1721</v>
      </c>
      <c r="B57" s="135" t="s">
        <v>287</v>
      </c>
      <c r="C57" s="543" t="s">
        <v>994</v>
      </c>
      <c r="D57" s="543" t="s">
        <v>995</v>
      </c>
      <c r="E57" s="535" t="s">
        <v>89</v>
      </c>
      <c r="F57" s="535" t="s">
        <v>133</v>
      </c>
      <c r="G57" s="631">
        <f>H57+H58+H59</f>
        <v>4794</v>
      </c>
      <c r="H57" s="146">
        <v>2122</v>
      </c>
      <c r="I57" s="532">
        <f>321700+2800</f>
        <v>324500</v>
      </c>
      <c r="J57" s="170"/>
      <c r="K57" s="145">
        <f t="shared" si="9"/>
        <v>0.35</v>
      </c>
      <c r="L57" s="550">
        <f>SUM(G57-(G57*K57))</f>
        <v>3116.1000000000004</v>
      </c>
      <c r="M57" s="146">
        <f t="shared" si="10"/>
        <v>1379.3000000000002</v>
      </c>
      <c r="N57" s="358">
        <f t="shared" si="11"/>
        <v>0</v>
      </c>
      <c r="O57" s="491" t="s">
        <v>341</v>
      </c>
      <c r="P57" s="478">
        <v>0.34</v>
      </c>
      <c r="Q57" s="509">
        <v>33</v>
      </c>
      <c r="R57" s="64"/>
      <c r="S57" s="64"/>
      <c r="T57" s="92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</row>
    <row r="58" spans="1:57" s="66" customFormat="1" ht="15" customHeight="1">
      <c r="A58" s="780"/>
      <c r="B58" s="135" t="s">
        <v>1722</v>
      </c>
      <c r="C58" s="543"/>
      <c r="D58" s="543"/>
      <c r="E58" s="535"/>
      <c r="F58" s="535"/>
      <c r="G58" s="631"/>
      <c r="H58" s="146">
        <f>2551+38</f>
        <v>2589</v>
      </c>
      <c r="I58" s="532"/>
      <c r="J58" s="170"/>
      <c r="K58" s="145">
        <f t="shared" si="9"/>
        <v>0.35</v>
      </c>
      <c r="L58" s="550"/>
      <c r="M58" s="146">
        <f t="shared" si="10"/>
        <v>1682.85</v>
      </c>
      <c r="N58" s="358">
        <f t="shared" si="11"/>
        <v>0</v>
      </c>
      <c r="O58" s="491" t="s">
        <v>343</v>
      </c>
      <c r="P58" s="478">
        <v>0.66900000000000004</v>
      </c>
      <c r="Q58" s="509">
        <v>94</v>
      </c>
      <c r="R58" s="64"/>
      <c r="S58" s="64"/>
      <c r="T58" s="92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</row>
    <row r="59" spans="1:57" s="7" customFormat="1" ht="15" customHeight="1">
      <c r="A59" s="780"/>
      <c r="B59" s="135" t="s">
        <v>1716</v>
      </c>
      <c r="C59" s="543"/>
      <c r="D59" s="543"/>
      <c r="E59" s="535"/>
      <c r="F59" s="535"/>
      <c r="G59" s="631"/>
      <c r="H59" s="146">
        <v>83</v>
      </c>
      <c r="I59" s="532"/>
      <c r="J59" s="170"/>
      <c r="K59" s="145">
        <f t="shared" si="9"/>
        <v>0.35</v>
      </c>
      <c r="L59" s="550"/>
      <c r="M59" s="146">
        <f t="shared" si="10"/>
        <v>53.95</v>
      </c>
      <c r="N59" s="358">
        <f t="shared" si="11"/>
        <v>0</v>
      </c>
      <c r="O59" s="491" t="s">
        <v>342</v>
      </c>
      <c r="P59" s="478">
        <v>0.11700000000000001</v>
      </c>
      <c r="Q59" s="509">
        <v>8.5</v>
      </c>
      <c r="R59" s="57"/>
      <c r="S59" s="57"/>
      <c r="T59" s="92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</row>
    <row r="60" spans="1:57" s="66" customFormat="1" ht="15" customHeight="1">
      <c r="A60" s="780" t="s">
        <v>1723</v>
      </c>
      <c r="B60" s="135" t="s">
        <v>287</v>
      </c>
      <c r="C60" s="632" t="s">
        <v>1012</v>
      </c>
      <c r="D60" s="632" t="s">
        <v>1013</v>
      </c>
      <c r="E60" s="535" t="s">
        <v>265</v>
      </c>
      <c r="F60" s="535" t="s">
        <v>94</v>
      </c>
      <c r="G60" s="631">
        <f>H60+H61+H62</f>
        <v>5003</v>
      </c>
      <c r="H60" s="146">
        <v>2122</v>
      </c>
      <c r="I60" s="532">
        <f>335800+2800</f>
        <v>338600</v>
      </c>
      <c r="J60" s="170"/>
      <c r="K60" s="145">
        <f t="shared" si="9"/>
        <v>0.35</v>
      </c>
      <c r="L60" s="550">
        <f>SUM(G60-(G60*K60))</f>
        <v>3251.95</v>
      </c>
      <c r="M60" s="146">
        <f t="shared" si="10"/>
        <v>1379.3000000000002</v>
      </c>
      <c r="N60" s="358">
        <f>J60*M60</f>
        <v>0</v>
      </c>
      <c r="O60" s="491" t="s">
        <v>341</v>
      </c>
      <c r="P60" s="478">
        <v>0.34</v>
      </c>
      <c r="Q60" s="509">
        <v>33</v>
      </c>
      <c r="R60" s="64"/>
      <c r="S60" s="64"/>
      <c r="T60" s="92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</row>
    <row r="61" spans="1:57" s="66" customFormat="1" ht="15" customHeight="1">
      <c r="A61" s="780"/>
      <c r="B61" s="135" t="s">
        <v>1724</v>
      </c>
      <c r="C61" s="543"/>
      <c r="D61" s="543"/>
      <c r="E61" s="535"/>
      <c r="F61" s="535"/>
      <c r="G61" s="631"/>
      <c r="H61" s="146">
        <f>2760+38</f>
        <v>2798</v>
      </c>
      <c r="I61" s="532"/>
      <c r="J61" s="170"/>
      <c r="K61" s="145">
        <f t="shared" si="9"/>
        <v>0.35</v>
      </c>
      <c r="L61" s="550"/>
      <c r="M61" s="146">
        <f t="shared" si="10"/>
        <v>1818.7</v>
      </c>
      <c r="N61" s="358">
        <f>J61*M61</f>
        <v>0</v>
      </c>
      <c r="O61" s="491" t="s">
        <v>343</v>
      </c>
      <c r="P61" s="478">
        <v>0.66900000000000004</v>
      </c>
      <c r="Q61" s="509">
        <v>113</v>
      </c>
      <c r="R61" s="64"/>
      <c r="S61" s="64"/>
      <c r="T61" s="92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</row>
    <row r="62" spans="1:57" s="7" customFormat="1" ht="15" customHeight="1">
      <c r="A62" s="780"/>
      <c r="B62" s="135" t="s">
        <v>1716</v>
      </c>
      <c r="C62" s="543"/>
      <c r="D62" s="543"/>
      <c r="E62" s="535"/>
      <c r="F62" s="535"/>
      <c r="G62" s="631"/>
      <c r="H62" s="146">
        <v>83</v>
      </c>
      <c r="I62" s="532"/>
      <c r="J62" s="170"/>
      <c r="K62" s="145">
        <f t="shared" si="9"/>
        <v>0.35</v>
      </c>
      <c r="L62" s="550"/>
      <c r="M62" s="146">
        <f t="shared" si="10"/>
        <v>53.95</v>
      </c>
      <c r="N62" s="358">
        <f>J62*M62</f>
        <v>0</v>
      </c>
      <c r="O62" s="491" t="s">
        <v>342</v>
      </c>
      <c r="P62" s="478">
        <v>0.11700000000000001</v>
      </c>
      <c r="Q62" s="509">
        <v>8.5</v>
      </c>
      <c r="R62" s="57"/>
      <c r="S62" s="57"/>
      <c r="T62" s="92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</row>
    <row r="63" spans="1:57" s="66" customFormat="1" ht="15" customHeight="1">
      <c r="A63" s="780" t="s">
        <v>1725</v>
      </c>
      <c r="B63" s="135" t="s">
        <v>194</v>
      </c>
      <c r="C63" s="543" t="s">
        <v>996</v>
      </c>
      <c r="D63" s="543" t="s">
        <v>997</v>
      </c>
      <c r="E63" s="535" t="s">
        <v>135</v>
      </c>
      <c r="F63" s="535" t="s">
        <v>136</v>
      </c>
      <c r="G63" s="631">
        <f>H63+H64+H65</f>
        <v>5385</v>
      </c>
      <c r="H63" s="146">
        <v>2423</v>
      </c>
      <c r="I63" s="532">
        <f>361600+2800</f>
        <v>364400</v>
      </c>
      <c r="J63" s="170"/>
      <c r="K63" s="145">
        <f t="shared" si="9"/>
        <v>0.35</v>
      </c>
      <c r="L63" s="550">
        <f>SUM(G63-(G63*K63))</f>
        <v>3500.25</v>
      </c>
      <c r="M63" s="146">
        <f t="shared" si="10"/>
        <v>1574.95</v>
      </c>
      <c r="N63" s="358">
        <f t="shared" si="11"/>
        <v>0</v>
      </c>
      <c r="O63" s="491" t="s">
        <v>341</v>
      </c>
      <c r="P63" s="478">
        <v>0.47099999999999997</v>
      </c>
      <c r="Q63" s="509">
        <v>33</v>
      </c>
      <c r="R63" s="64"/>
      <c r="S63" s="64"/>
      <c r="T63" s="92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</row>
    <row r="64" spans="1:57" s="66" customFormat="1" ht="15" customHeight="1">
      <c r="A64" s="780"/>
      <c r="B64" s="135" t="s">
        <v>1726</v>
      </c>
      <c r="C64" s="543"/>
      <c r="D64" s="543"/>
      <c r="E64" s="535"/>
      <c r="F64" s="535"/>
      <c r="G64" s="631"/>
      <c r="H64" s="146">
        <f>2841+38</f>
        <v>2879</v>
      </c>
      <c r="I64" s="532"/>
      <c r="J64" s="170"/>
      <c r="K64" s="145">
        <f t="shared" si="9"/>
        <v>0.35</v>
      </c>
      <c r="L64" s="550"/>
      <c r="M64" s="146">
        <f t="shared" si="10"/>
        <v>1871.35</v>
      </c>
      <c r="N64" s="358">
        <f>J64*M64</f>
        <v>0</v>
      </c>
      <c r="O64" s="491" t="s">
        <v>343</v>
      </c>
      <c r="P64" s="478">
        <v>0.66900000000000004</v>
      </c>
      <c r="Q64" s="509">
        <v>94</v>
      </c>
      <c r="R64" s="64"/>
      <c r="S64" s="64"/>
      <c r="T64" s="92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</row>
    <row r="65" spans="1:57" s="66" customFormat="1" ht="15" customHeight="1">
      <c r="A65" s="780"/>
      <c r="B65" s="135" t="s">
        <v>1716</v>
      </c>
      <c r="C65" s="543"/>
      <c r="D65" s="543"/>
      <c r="E65" s="535"/>
      <c r="F65" s="535"/>
      <c r="G65" s="631"/>
      <c r="H65" s="146">
        <v>83</v>
      </c>
      <c r="I65" s="532"/>
      <c r="J65" s="170"/>
      <c r="K65" s="145">
        <f t="shared" si="9"/>
        <v>0.35</v>
      </c>
      <c r="L65" s="550"/>
      <c r="M65" s="146">
        <f t="shared" si="10"/>
        <v>53.95</v>
      </c>
      <c r="N65" s="358">
        <f t="shared" si="11"/>
        <v>0</v>
      </c>
      <c r="O65" s="491" t="s">
        <v>342</v>
      </c>
      <c r="P65" s="478">
        <v>0.11700000000000001</v>
      </c>
      <c r="Q65" s="509">
        <v>8.5</v>
      </c>
      <c r="R65" s="64"/>
      <c r="S65" s="64"/>
      <c r="T65" s="92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</row>
    <row r="66" spans="1:57" s="7" customFormat="1" ht="15" customHeight="1">
      <c r="A66" s="780" t="s">
        <v>1727</v>
      </c>
      <c r="B66" s="135" t="s">
        <v>194</v>
      </c>
      <c r="C66" s="540" t="s">
        <v>1014</v>
      </c>
      <c r="D66" s="633" t="s">
        <v>1015</v>
      </c>
      <c r="E66" s="555" t="s">
        <v>89</v>
      </c>
      <c r="F66" s="555" t="s">
        <v>116</v>
      </c>
      <c r="G66" s="631">
        <f>H66+H67+H68</f>
        <v>5644</v>
      </c>
      <c r="H66" s="146">
        <v>2423</v>
      </c>
      <c r="I66" s="532">
        <f>379100+2800</f>
        <v>381900</v>
      </c>
      <c r="J66" s="170"/>
      <c r="K66" s="145">
        <f t="shared" si="9"/>
        <v>0.35</v>
      </c>
      <c r="L66" s="550">
        <f>SUM(G66-(G66*K66))</f>
        <v>3668.6000000000004</v>
      </c>
      <c r="M66" s="146">
        <f t="shared" si="10"/>
        <v>1574.95</v>
      </c>
      <c r="N66" s="358">
        <f>J66*M66</f>
        <v>0</v>
      </c>
      <c r="O66" s="491" t="s">
        <v>341</v>
      </c>
      <c r="P66" s="478">
        <v>0.47099999999999997</v>
      </c>
      <c r="Q66" s="509">
        <v>33</v>
      </c>
      <c r="R66" s="57"/>
      <c r="S66" s="57"/>
      <c r="T66" s="92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</row>
    <row r="67" spans="1:57" s="7" customFormat="1" ht="15" customHeight="1">
      <c r="A67" s="780"/>
      <c r="B67" s="135" t="s">
        <v>1728</v>
      </c>
      <c r="C67" s="540"/>
      <c r="D67" s="540"/>
      <c r="E67" s="555"/>
      <c r="F67" s="555"/>
      <c r="G67" s="631"/>
      <c r="H67" s="146">
        <f>3100+38</f>
        <v>3138</v>
      </c>
      <c r="I67" s="532"/>
      <c r="J67" s="170"/>
      <c r="K67" s="145">
        <f t="shared" si="9"/>
        <v>0.35</v>
      </c>
      <c r="L67" s="550"/>
      <c r="M67" s="146">
        <f t="shared" si="10"/>
        <v>2039.7</v>
      </c>
      <c r="N67" s="358">
        <f>J67*M67</f>
        <v>0</v>
      </c>
      <c r="O67" s="491" t="s">
        <v>343</v>
      </c>
      <c r="P67" s="478">
        <v>0.66900000000000004</v>
      </c>
      <c r="Q67" s="509">
        <v>117</v>
      </c>
      <c r="R67" s="57"/>
      <c r="S67" s="57"/>
      <c r="T67" s="92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</row>
    <row r="68" spans="1:57" s="7" customFormat="1" ht="15" customHeight="1">
      <c r="A68" s="780"/>
      <c r="B68" s="135" t="s">
        <v>1716</v>
      </c>
      <c r="C68" s="540"/>
      <c r="D68" s="540"/>
      <c r="E68" s="555"/>
      <c r="F68" s="555"/>
      <c r="G68" s="631"/>
      <c r="H68" s="146">
        <v>83</v>
      </c>
      <c r="I68" s="532"/>
      <c r="J68" s="170"/>
      <c r="K68" s="145">
        <f t="shared" si="9"/>
        <v>0.35</v>
      </c>
      <c r="L68" s="550"/>
      <c r="M68" s="146">
        <f t="shared" si="10"/>
        <v>53.95</v>
      </c>
      <c r="N68" s="358">
        <f>J68*M68</f>
        <v>0</v>
      </c>
      <c r="O68" s="491" t="s">
        <v>342</v>
      </c>
      <c r="P68" s="478">
        <v>0.11700000000000001</v>
      </c>
      <c r="Q68" s="509">
        <v>8.5</v>
      </c>
      <c r="R68" s="57"/>
      <c r="S68" s="57"/>
      <c r="T68" s="92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</row>
    <row r="69" spans="1:57" s="7" customFormat="1" ht="41.25" customHeight="1">
      <c r="A69" s="784" t="s">
        <v>1016</v>
      </c>
      <c r="B69" s="653"/>
      <c r="C69" s="653"/>
      <c r="D69" s="653"/>
      <c r="E69" s="653"/>
      <c r="F69" s="653"/>
      <c r="G69" s="653"/>
      <c r="H69" s="653"/>
      <c r="I69" s="653"/>
      <c r="J69" s="653"/>
      <c r="K69" s="653"/>
      <c r="L69" s="653"/>
      <c r="M69" s="653"/>
      <c r="N69" s="149"/>
      <c r="O69" s="150"/>
      <c r="P69" s="150"/>
      <c r="Q69" s="508"/>
      <c r="R69" s="57"/>
      <c r="S69" s="92"/>
      <c r="T69" s="92"/>
      <c r="U69" s="92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6"/>
      <c r="BB69" s="56"/>
      <c r="BC69" s="56"/>
      <c r="BD69" s="56"/>
    </row>
    <row r="70" spans="1:57" s="7" customFormat="1" ht="30" customHeight="1">
      <c r="A70" s="538" t="s">
        <v>158</v>
      </c>
      <c r="B70" s="538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  <c r="R70" s="57"/>
      <c r="S70" s="92"/>
      <c r="T70" s="92"/>
      <c r="U70" s="92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</row>
    <row r="71" spans="1:57" s="73" customFormat="1" ht="19.5" customHeight="1">
      <c r="A71" s="670" t="s">
        <v>495</v>
      </c>
      <c r="B71" s="670"/>
      <c r="C71" s="670"/>
      <c r="D71" s="670"/>
      <c r="E71" s="670"/>
      <c r="F71" s="670"/>
      <c r="G71" s="670"/>
      <c r="H71" s="670"/>
      <c r="I71" s="670"/>
      <c r="J71" s="670"/>
      <c r="K71" s="670"/>
      <c r="L71" s="670"/>
      <c r="M71" s="670"/>
      <c r="N71" s="137"/>
      <c r="O71" s="138"/>
      <c r="P71" s="138"/>
      <c r="Q71" s="138"/>
      <c r="R71" s="57"/>
      <c r="S71" s="92"/>
      <c r="T71" s="92"/>
      <c r="U71" s="92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</row>
    <row r="72" spans="1:57" s="7" customFormat="1" ht="15" customHeight="1">
      <c r="A72" s="780" t="s">
        <v>394</v>
      </c>
      <c r="B72" s="143" t="s">
        <v>67</v>
      </c>
      <c r="C72" s="535" t="s">
        <v>124</v>
      </c>
      <c r="D72" s="535" t="s">
        <v>125</v>
      </c>
      <c r="E72" s="535" t="s">
        <v>131</v>
      </c>
      <c r="F72" s="535" t="s">
        <v>141</v>
      </c>
      <c r="G72" s="663">
        <f>H72+H73</f>
        <v>1833</v>
      </c>
      <c r="H72" s="146">
        <v>983</v>
      </c>
      <c r="I72" s="532">
        <f>121400+2800</f>
        <v>124200</v>
      </c>
      <c r="J72" s="160"/>
      <c r="K72" s="145">
        <f t="shared" ref="K72:K77" si="12">$H$3</f>
        <v>0.35</v>
      </c>
      <c r="L72" s="550">
        <f>SUM(G72-(G72*K72))</f>
        <v>1191.45</v>
      </c>
      <c r="M72" s="146">
        <f t="shared" ref="M72:M77" si="13">SUM(H72-(H72*K72))</f>
        <v>638.95000000000005</v>
      </c>
      <c r="N72" s="358">
        <f t="shared" ref="N72:N77" si="14">J72*M72</f>
        <v>0</v>
      </c>
      <c r="O72" s="491" t="s">
        <v>344</v>
      </c>
      <c r="P72" s="478">
        <v>0.23</v>
      </c>
      <c r="Q72" s="509">
        <v>26</v>
      </c>
      <c r="R72" s="57"/>
      <c r="S72" s="92"/>
      <c r="T72" s="92"/>
      <c r="U72" s="92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6"/>
      <c r="BB72" s="56"/>
      <c r="BC72" s="56"/>
      <c r="BD72" s="56"/>
    </row>
    <row r="73" spans="1:57" s="7" customFormat="1" ht="15" customHeight="1">
      <c r="A73" s="781"/>
      <c r="B73" s="143" t="s">
        <v>62</v>
      </c>
      <c r="C73" s="536"/>
      <c r="D73" s="536"/>
      <c r="E73" s="535"/>
      <c r="F73" s="535"/>
      <c r="G73" s="664"/>
      <c r="H73" s="146">
        <f>812+38</f>
        <v>850</v>
      </c>
      <c r="I73" s="532"/>
      <c r="J73" s="160"/>
      <c r="K73" s="145">
        <f t="shared" si="12"/>
        <v>0.35</v>
      </c>
      <c r="L73" s="550"/>
      <c r="M73" s="146">
        <f t="shared" si="13"/>
        <v>552.5</v>
      </c>
      <c r="N73" s="358">
        <f t="shared" si="14"/>
        <v>0</v>
      </c>
      <c r="O73" s="491" t="s">
        <v>319</v>
      </c>
      <c r="P73" s="478">
        <v>0.249</v>
      </c>
      <c r="Q73" s="509">
        <v>44</v>
      </c>
      <c r="R73" s="57"/>
      <c r="S73" s="92"/>
      <c r="T73" s="92"/>
      <c r="U73" s="92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6"/>
      <c r="BB73" s="56"/>
      <c r="BC73" s="56"/>
      <c r="BD73" s="56"/>
    </row>
    <row r="74" spans="1:57" s="7" customFormat="1" ht="15" customHeight="1">
      <c r="A74" s="780" t="s">
        <v>395</v>
      </c>
      <c r="B74" s="135" t="s">
        <v>68</v>
      </c>
      <c r="C74" s="555" t="s">
        <v>126</v>
      </c>
      <c r="D74" s="555" t="s">
        <v>127</v>
      </c>
      <c r="E74" s="555" t="s">
        <v>89</v>
      </c>
      <c r="F74" s="555" t="s">
        <v>142</v>
      </c>
      <c r="G74" s="663">
        <f>H74+H75</f>
        <v>2091</v>
      </c>
      <c r="H74" s="146">
        <v>1144</v>
      </c>
      <c r="I74" s="532">
        <f>138900+2800</f>
        <v>141700</v>
      </c>
      <c r="J74" s="160"/>
      <c r="K74" s="145">
        <f t="shared" si="12"/>
        <v>0.35</v>
      </c>
      <c r="L74" s="550">
        <f>SUM(G74-(G74*K74))</f>
        <v>1359.15</v>
      </c>
      <c r="M74" s="146">
        <f t="shared" si="13"/>
        <v>743.6</v>
      </c>
      <c r="N74" s="358">
        <f t="shared" si="14"/>
        <v>0</v>
      </c>
      <c r="O74" s="491" t="s">
        <v>344</v>
      </c>
      <c r="P74" s="478">
        <v>0.23</v>
      </c>
      <c r="Q74" s="509">
        <v>26</v>
      </c>
      <c r="R74" s="57"/>
      <c r="S74" s="92"/>
      <c r="T74" s="92"/>
      <c r="U74" s="92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6"/>
      <c r="BB74" s="56"/>
      <c r="BC74" s="56"/>
      <c r="BD74" s="56"/>
    </row>
    <row r="75" spans="1:57" s="7" customFormat="1" ht="15" customHeight="1">
      <c r="A75" s="781"/>
      <c r="B75" s="135" t="s">
        <v>64</v>
      </c>
      <c r="C75" s="662"/>
      <c r="D75" s="662"/>
      <c r="E75" s="555"/>
      <c r="F75" s="555"/>
      <c r="G75" s="664"/>
      <c r="H75" s="146">
        <f>909+38</f>
        <v>947</v>
      </c>
      <c r="I75" s="532"/>
      <c r="J75" s="160"/>
      <c r="K75" s="145">
        <f t="shared" si="12"/>
        <v>0.35</v>
      </c>
      <c r="L75" s="550"/>
      <c r="M75" s="146">
        <f t="shared" si="13"/>
        <v>615.54999999999995</v>
      </c>
      <c r="N75" s="358">
        <f t="shared" si="14"/>
        <v>0</v>
      </c>
      <c r="O75" s="491" t="s">
        <v>319</v>
      </c>
      <c r="P75" s="478">
        <v>0.249</v>
      </c>
      <c r="Q75" s="506">
        <v>44</v>
      </c>
      <c r="R75" s="57"/>
      <c r="S75" s="92"/>
      <c r="T75" s="92"/>
      <c r="U75" s="92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6"/>
      <c r="BB75" s="56"/>
      <c r="BC75" s="56"/>
      <c r="BD75" s="56"/>
    </row>
    <row r="76" spans="1:57" s="7" customFormat="1" ht="15" customHeight="1">
      <c r="A76" s="780" t="s">
        <v>396</v>
      </c>
      <c r="B76" s="135" t="s">
        <v>69</v>
      </c>
      <c r="C76" s="555" t="s">
        <v>128</v>
      </c>
      <c r="D76" s="555" t="s">
        <v>129</v>
      </c>
      <c r="E76" s="555" t="s">
        <v>89</v>
      </c>
      <c r="F76" s="555" t="s">
        <v>116</v>
      </c>
      <c r="G76" s="663">
        <f>H76+H77</f>
        <v>2094</v>
      </c>
      <c r="H76" s="146">
        <f>1092+38</f>
        <v>1130</v>
      </c>
      <c r="I76" s="532">
        <f>139100+2800</f>
        <v>141900</v>
      </c>
      <c r="J76" s="160"/>
      <c r="K76" s="145">
        <f t="shared" si="12"/>
        <v>0.35</v>
      </c>
      <c r="L76" s="550">
        <f>SUM(G76-(G76*K76))</f>
        <v>1361.1</v>
      </c>
      <c r="M76" s="146">
        <f t="shared" si="13"/>
        <v>734.5</v>
      </c>
      <c r="N76" s="358">
        <f t="shared" si="14"/>
        <v>0</v>
      </c>
      <c r="O76" s="491" t="s">
        <v>544</v>
      </c>
      <c r="P76" s="478">
        <v>0.23799999999999999</v>
      </c>
      <c r="Q76" s="506">
        <v>29</v>
      </c>
      <c r="R76" s="57"/>
      <c r="S76" s="92"/>
      <c r="T76" s="92"/>
      <c r="U76" s="92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6"/>
      <c r="BB76" s="56"/>
      <c r="BC76" s="56"/>
      <c r="BD76" s="56"/>
    </row>
    <row r="77" spans="1:57" s="7" customFormat="1" ht="15" customHeight="1">
      <c r="A77" s="781"/>
      <c r="B77" s="135" t="s">
        <v>802</v>
      </c>
      <c r="C77" s="662"/>
      <c r="D77" s="662"/>
      <c r="E77" s="555"/>
      <c r="F77" s="555"/>
      <c r="G77" s="664"/>
      <c r="H77" s="146">
        <v>964</v>
      </c>
      <c r="I77" s="532"/>
      <c r="J77" s="160"/>
      <c r="K77" s="145">
        <f t="shared" si="12"/>
        <v>0.35</v>
      </c>
      <c r="L77" s="550"/>
      <c r="M77" s="146">
        <f t="shared" si="13"/>
        <v>626.6</v>
      </c>
      <c r="N77" s="358">
        <f t="shared" si="14"/>
        <v>0</v>
      </c>
      <c r="O77" s="491" t="s">
        <v>319</v>
      </c>
      <c r="P77" s="478">
        <v>0.249</v>
      </c>
      <c r="Q77" s="506">
        <v>44</v>
      </c>
      <c r="R77" s="57"/>
      <c r="S77" s="92"/>
      <c r="T77" s="92"/>
      <c r="U77" s="92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6"/>
      <c r="BB77" s="56"/>
      <c r="BC77" s="56"/>
      <c r="BD77" s="56"/>
    </row>
    <row r="78" spans="1:57" s="7" customFormat="1" ht="41.25" customHeight="1">
      <c r="A78" s="784" t="s">
        <v>1024</v>
      </c>
      <c r="B78" s="653"/>
      <c r="C78" s="653"/>
      <c r="D78" s="653"/>
      <c r="E78" s="653"/>
      <c r="F78" s="653"/>
      <c r="G78" s="653"/>
      <c r="H78" s="653"/>
      <c r="I78" s="653"/>
      <c r="J78" s="653"/>
      <c r="K78" s="653"/>
      <c r="L78" s="653"/>
      <c r="M78" s="653"/>
      <c r="N78" s="149"/>
      <c r="O78" s="150"/>
      <c r="P78" s="150"/>
      <c r="Q78" s="508"/>
      <c r="R78" s="57"/>
      <c r="S78" s="92"/>
      <c r="T78" s="92"/>
      <c r="U78" s="92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6"/>
      <c r="BB78" s="56"/>
      <c r="BC78" s="56"/>
      <c r="BD78" s="56"/>
    </row>
    <row r="79" spans="1:57" s="7" customFormat="1" ht="30" customHeight="1">
      <c r="A79" s="538" t="s">
        <v>1729</v>
      </c>
      <c r="B79" s="538"/>
      <c r="C79" s="538"/>
      <c r="D79" s="538"/>
      <c r="E79" s="538"/>
      <c r="F79" s="538"/>
      <c r="G79" s="538"/>
      <c r="H79" s="538"/>
      <c r="I79" s="538"/>
      <c r="J79" s="538"/>
      <c r="K79" s="538"/>
      <c r="L79" s="538"/>
      <c r="M79" s="538"/>
      <c r="N79" s="538"/>
      <c r="O79" s="538"/>
      <c r="P79" s="538"/>
      <c r="Q79" s="538"/>
      <c r="R79" s="57"/>
      <c r="S79" s="92"/>
      <c r="T79" s="92"/>
      <c r="U79" s="92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</row>
    <row r="80" spans="1:57" s="73" customFormat="1" ht="19.5" customHeight="1">
      <c r="A80" s="670" t="s">
        <v>496</v>
      </c>
      <c r="B80" s="670"/>
      <c r="C80" s="670"/>
      <c r="D80" s="670"/>
      <c r="E80" s="670"/>
      <c r="F80" s="670"/>
      <c r="G80" s="670"/>
      <c r="H80" s="670"/>
      <c r="I80" s="670"/>
      <c r="J80" s="670"/>
      <c r="K80" s="670"/>
      <c r="L80" s="670"/>
      <c r="M80" s="670"/>
      <c r="N80" s="137"/>
      <c r="O80" s="138"/>
      <c r="P80" s="138"/>
      <c r="Q80" s="138"/>
      <c r="R80" s="57"/>
      <c r="S80" s="92"/>
      <c r="T80" s="92"/>
      <c r="U80" s="92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</row>
    <row r="81" spans="1:56" s="7" customFormat="1" ht="15.75" customHeight="1">
      <c r="A81" s="780" t="s">
        <v>1730</v>
      </c>
      <c r="B81" s="135" t="s">
        <v>201</v>
      </c>
      <c r="C81" s="542" t="s">
        <v>541</v>
      </c>
      <c r="D81" s="542" t="s">
        <v>130</v>
      </c>
      <c r="E81" s="542" t="s">
        <v>117</v>
      </c>
      <c r="F81" s="542" t="s">
        <v>542</v>
      </c>
      <c r="G81" s="663">
        <f>H81+H82</f>
        <v>2432</v>
      </c>
      <c r="H81" s="146">
        <v>1491</v>
      </c>
      <c r="I81" s="532">
        <f>161900+2800</f>
        <v>164700</v>
      </c>
      <c r="J81" s="160"/>
      <c r="K81" s="145">
        <f t="shared" ref="K81:K103" si="15">$H$3</f>
        <v>0.35</v>
      </c>
      <c r="L81" s="550">
        <f>SUM(G81-(G81*K81))</f>
        <v>1580.8000000000002</v>
      </c>
      <c r="M81" s="146">
        <f t="shared" ref="M81:M92" si="16">SUM(H81-(H81*K81))</f>
        <v>969.15</v>
      </c>
      <c r="N81" s="358">
        <f>J81*M81</f>
        <v>0</v>
      </c>
      <c r="O81" s="491" t="s">
        <v>335</v>
      </c>
      <c r="P81" s="478">
        <v>0.313</v>
      </c>
      <c r="Q81" s="506">
        <v>45</v>
      </c>
      <c r="R81" s="57"/>
      <c r="S81" s="92"/>
      <c r="T81" s="92"/>
      <c r="U81" s="92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6"/>
      <c r="BB81" s="56"/>
      <c r="BC81" s="56"/>
      <c r="BD81" s="56"/>
    </row>
    <row r="82" spans="1:56" s="7" customFormat="1" ht="15" customHeight="1">
      <c r="A82" s="781"/>
      <c r="B82" s="135" t="s">
        <v>1713</v>
      </c>
      <c r="C82" s="668"/>
      <c r="D82" s="668"/>
      <c r="E82" s="542"/>
      <c r="F82" s="542"/>
      <c r="G82" s="664"/>
      <c r="H82" s="146">
        <f>903+38</f>
        <v>941</v>
      </c>
      <c r="I82" s="532"/>
      <c r="J82" s="160"/>
      <c r="K82" s="145">
        <f t="shared" si="15"/>
        <v>0.35</v>
      </c>
      <c r="L82" s="550"/>
      <c r="M82" s="146">
        <f t="shared" si="16"/>
        <v>611.65000000000009</v>
      </c>
      <c r="N82" s="358">
        <f>J82*M82</f>
        <v>0</v>
      </c>
      <c r="O82" s="491" t="s">
        <v>319</v>
      </c>
      <c r="P82" s="478">
        <v>0.249</v>
      </c>
      <c r="Q82" s="506">
        <v>48</v>
      </c>
      <c r="R82" s="57"/>
      <c r="S82" s="92"/>
      <c r="T82" s="92"/>
      <c r="U82" s="92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6"/>
      <c r="BB82" s="56"/>
      <c r="BC82" s="56"/>
      <c r="BD82" s="56"/>
    </row>
    <row r="83" spans="1:56" s="69" customFormat="1" ht="15" customHeight="1">
      <c r="A83" s="780" t="s">
        <v>1731</v>
      </c>
      <c r="B83" s="135" t="s">
        <v>289</v>
      </c>
      <c r="C83" s="542" t="s">
        <v>556</v>
      </c>
      <c r="D83" s="542" t="s">
        <v>134</v>
      </c>
      <c r="E83" s="542" t="s">
        <v>89</v>
      </c>
      <c r="F83" s="542" t="s">
        <v>140</v>
      </c>
      <c r="G83" s="663">
        <f>H83+H84</f>
        <v>3281</v>
      </c>
      <c r="H83" s="146">
        <v>1575</v>
      </c>
      <c r="I83" s="532">
        <f>219300+2800</f>
        <v>222100</v>
      </c>
      <c r="J83" s="160"/>
      <c r="K83" s="145">
        <f t="shared" si="15"/>
        <v>0.35</v>
      </c>
      <c r="L83" s="550">
        <f>SUM(G83-(G83*K83))</f>
        <v>2132.65</v>
      </c>
      <c r="M83" s="146">
        <f t="shared" si="16"/>
        <v>1023.75</v>
      </c>
      <c r="N83" s="358">
        <f>J83*M83</f>
        <v>0</v>
      </c>
      <c r="O83" s="491" t="s">
        <v>335</v>
      </c>
      <c r="P83" s="478">
        <v>0.313</v>
      </c>
      <c r="Q83" s="506">
        <v>47</v>
      </c>
      <c r="R83" s="57"/>
      <c r="S83" s="92"/>
      <c r="T83" s="92"/>
      <c r="U83" s="92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6"/>
      <c r="BB83" s="56"/>
      <c r="BC83" s="56"/>
      <c r="BD83" s="56"/>
    </row>
    <row r="84" spans="1:56" s="69" customFormat="1" ht="15" customHeight="1">
      <c r="A84" s="781"/>
      <c r="B84" s="135" t="s">
        <v>1715</v>
      </c>
      <c r="C84" s="668"/>
      <c r="D84" s="668"/>
      <c r="E84" s="542"/>
      <c r="F84" s="542"/>
      <c r="G84" s="664"/>
      <c r="H84" s="146">
        <f>1668+38</f>
        <v>1706</v>
      </c>
      <c r="I84" s="532"/>
      <c r="J84" s="160"/>
      <c r="K84" s="145">
        <f t="shared" si="15"/>
        <v>0.35</v>
      </c>
      <c r="L84" s="550"/>
      <c r="M84" s="146">
        <f t="shared" si="16"/>
        <v>1108.9000000000001</v>
      </c>
      <c r="N84" s="358">
        <f>J84*M84</f>
        <v>0</v>
      </c>
      <c r="O84" s="491" t="s">
        <v>320</v>
      </c>
      <c r="P84" s="478">
        <v>0.45300000000000001</v>
      </c>
      <c r="Q84" s="506">
        <v>68</v>
      </c>
      <c r="R84" s="57"/>
      <c r="S84" s="92"/>
      <c r="T84" s="92"/>
      <c r="U84" s="92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6"/>
      <c r="BB84" s="56"/>
      <c r="BC84" s="56"/>
      <c r="BD84" s="56"/>
    </row>
    <row r="85" spans="1:56" s="66" customFormat="1" ht="15" customHeight="1">
      <c r="A85" s="780" t="s">
        <v>1732</v>
      </c>
      <c r="B85" s="135" t="s">
        <v>317</v>
      </c>
      <c r="C85" s="542" t="s">
        <v>1018</v>
      </c>
      <c r="D85" s="542" t="s">
        <v>1019</v>
      </c>
      <c r="E85" s="542" t="s">
        <v>543</v>
      </c>
      <c r="F85" s="542" t="s">
        <v>116</v>
      </c>
      <c r="G85" s="663">
        <f>H85+H86</f>
        <v>4129</v>
      </c>
      <c r="H85" s="144">
        <v>2063</v>
      </c>
      <c r="I85" s="532">
        <f>276600+2800</f>
        <v>279400</v>
      </c>
      <c r="J85" s="160"/>
      <c r="K85" s="145">
        <f t="shared" si="15"/>
        <v>0.35</v>
      </c>
      <c r="L85" s="550">
        <f>SUM(G85-(G85*K85))</f>
        <v>2683.8500000000004</v>
      </c>
      <c r="M85" s="146">
        <f t="shared" si="16"/>
        <v>1340.95</v>
      </c>
      <c r="N85" s="358">
        <f t="shared" ref="N85:N92" si="17">J85*M85</f>
        <v>0</v>
      </c>
      <c r="O85" s="491" t="s">
        <v>335</v>
      </c>
      <c r="P85" s="478">
        <v>0.313</v>
      </c>
      <c r="Q85" s="506">
        <v>47</v>
      </c>
      <c r="R85" s="64"/>
      <c r="S85" s="92"/>
      <c r="T85" s="92"/>
      <c r="U85" s="92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7"/>
      <c r="BB85" s="67"/>
      <c r="BC85" s="67"/>
      <c r="BD85" s="67"/>
    </row>
    <row r="86" spans="1:56" s="66" customFormat="1" ht="15" customHeight="1">
      <c r="A86" s="780"/>
      <c r="B86" s="135" t="s">
        <v>1718</v>
      </c>
      <c r="C86" s="668"/>
      <c r="D86" s="668"/>
      <c r="E86" s="542"/>
      <c r="F86" s="542"/>
      <c r="G86" s="664"/>
      <c r="H86" s="144">
        <f>2028+38</f>
        <v>2066</v>
      </c>
      <c r="I86" s="532"/>
      <c r="J86" s="160"/>
      <c r="K86" s="145">
        <f t="shared" si="15"/>
        <v>0.35</v>
      </c>
      <c r="L86" s="550"/>
      <c r="M86" s="146">
        <f t="shared" si="16"/>
        <v>1342.9</v>
      </c>
      <c r="N86" s="358">
        <f t="shared" si="17"/>
        <v>0</v>
      </c>
      <c r="O86" s="491" t="s">
        <v>320</v>
      </c>
      <c r="P86" s="478">
        <v>0.45300000000000001</v>
      </c>
      <c r="Q86" s="506">
        <v>68</v>
      </c>
      <c r="R86" s="64"/>
      <c r="S86" s="92"/>
      <c r="T86" s="92"/>
      <c r="U86" s="92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7"/>
      <c r="BB86" s="67"/>
      <c r="BC86" s="67"/>
      <c r="BD86" s="67"/>
    </row>
    <row r="87" spans="1:56" s="66" customFormat="1" ht="15" customHeight="1">
      <c r="A87" s="785" t="s">
        <v>1733</v>
      </c>
      <c r="B87" s="135" t="s">
        <v>190</v>
      </c>
      <c r="C87" s="542" t="s">
        <v>1025</v>
      </c>
      <c r="D87" s="542" t="s">
        <v>1026</v>
      </c>
      <c r="E87" s="542" t="s">
        <v>137</v>
      </c>
      <c r="F87" s="542" t="s">
        <v>143</v>
      </c>
      <c r="G87" s="663">
        <f>H87+H88</f>
        <v>4356</v>
      </c>
      <c r="H87" s="146">
        <v>2042</v>
      </c>
      <c r="I87" s="532">
        <f>292000+2800</f>
        <v>294800</v>
      </c>
      <c r="J87" s="160"/>
      <c r="K87" s="145">
        <f t="shared" si="15"/>
        <v>0.35</v>
      </c>
      <c r="L87" s="550">
        <f>SUM(G87-(G87*K87))</f>
        <v>2831.4</v>
      </c>
      <c r="M87" s="146">
        <f t="shared" si="16"/>
        <v>1327.3000000000002</v>
      </c>
      <c r="N87" s="358">
        <f t="shared" si="17"/>
        <v>0</v>
      </c>
      <c r="O87" s="491" t="s">
        <v>335</v>
      </c>
      <c r="P87" s="174">
        <v>0.313</v>
      </c>
      <c r="Q87" s="509">
        <v>47</v>
      </c>
      <c r="R87" s="64"/>
      <c r="S87" s="92"/>
      <c r="T87" s="92"/>
      <c r="U87" s="92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7"/>
      <c r="BB87" s="67"/>
      <c r="BC87" s="67"/>
      <c r="BD87" s="67"/>
    </row>
    <row r="88" spans="1:56" s="66" customFormat="1" ht="15" customHeight="1">
      <c r="A88" s="785"/>
      <c r="B88" s="135" t="s">
        <v>1720</v>
      </c>
      <c r="C88" s="668"/>
      <c r="D88" s="668"/>
      <c r="E88" s="542"/>
      <c r="F88" s="542"/>
      <c r="G88" s="664"/>
      <c r="H88" s="146">
        <f>2276+38</f>
        <v>2314</v>
      </c>
      <c r="I88" s="532"/>
      <c r="J88" s="160"/>
      <c r="K88" s="145">
        <f t="shared" si="15"/>
        <v>0.35</v>
      </c>
      <c r="L88" s="550"/>
      <c r="M88" s="146">
        <f t="shared" si="16"/>
        <v>1504.1</v>
      </c>
      <c r="N88" s="358">
        <f t="shared" si="17"/>
        <v>0</v>
      </c>
      <c r="O88" s="491" t="s">
        <v>334</v>
      </c>
      <c r="P88" s="174">
        <v>0.66900000000000004</v>
      </c>
      <c r="Q88" s="509">
        <v>113</v>
      </c>
      <c r="R88" s="64"/>
      <c r="S88" s="92"/>
      <c r="T88" s="92"/>
      <c r="U88" s="92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7"/>
      <c r="BB88" s="67"/>
      <c r="BC88" s="67"/>
      <c r="BD88" s="67"/>
    </row>
    <row r="89" spans="1:56" s="66" customFormat="1" ht="15" customHeight="1">
      <c r="A89" s="780" t="s">
        <v>1734</v>
      </c>
      <c r="B89" s="135" t="s">
        <v>191</v>
      </c>
      <c r="C89" s="556" t="s">
        <v>1027</v>
      </c>
      <c r="D89" s="556" t="s">
        <v>1028</v>
      </c>
      <c r="E89" s="556" t="s">
        <v>89</v>
      </c>
      <c r="F89" s="556" t="s">
        <v>116</v>
      </c>
      <c r="G89" s="663">
        <f>H89+H90</f>
        <v>4669</v>
      </c>
      <c r="H89" s="146">
        <v>2080</v>
      </c>
      <c r="I89" s="532">
        <f>313200+2800</f>
        <v>316000</v>
      </c>
      <c r="J89" s="160"/>
      <c r="K89" s="145">
        <f t="shared" si="15"/>
        <v>0.35</v>
      </c>
      <c r="L89" s="550">
        <f>SUM(G89-(G89*K89))</f>
        <v>3034.8500000000004</v>
      </c>
      <c r="M89" s="146">
        <f t="shared" si="16"/>
        <v>1352</v>
      </c>
      <c r="N89" s="358">
        <f t="shared" si="17"/>
        <v>0</v>
      </c>
      <c r="O89" s="491" t="s">
        <v>335</v>
      </c>
      <c r="P89" s="174">
        <v>0.313</v>
      </c>
      <c r="Q89" s="509">
        <v>47</v>
      </c>
      <c r="R89" s="64"/>
      <c r="S89" s="92"/>
      <c r="T89" s="92"/>
      <c r="U89" s="92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7"/>
      <c r="BB89" s="67"/>
      <c r="BC89" s="67"/>
      <c r="BD89" s="67"/>
    </row>
    <row r="90" spans="1:56" s="66" customFormat="1" ht="15" customHeight="1">
      <c r="A90" s="780"/>
      <c r="B90" s="135" t="s">
        <v>1722</v>
      </c>
      <c r="C90" s="667"/>
      <c r="D90" s="667"/>
      <c r="E90" s="556"/>
      <c r="F90" s="556"/>
      <c r="G90" s="664"/>
      <c r="H90" s="146">
        <f>2551+38</f>
        <v>2589</v>
      </c>
      <c r="I90" s="532"/>
      <c r="J90" s="160"/>
      <c r="K90" s="145">
        <f t="shared" si="15"/>
        <v>0.35</v>
      </c>
      <c r="L90" s="550"/>
      <c r="M90" s="146">
        <f t="shared" si="16"/>
        <v>1682.85</v>
      </c>
      <c r="N90" s="358">
        <f t="shared" si="17"/>
        <v>0</v>
      </c>
      <c r="O90" s="491" t="s">
        <v>334</v>
      </c>
      <c r="P90" s="174">
        <v>0.66900000000000004</v>
      </c>
      <c r="Q90" s="509">
        <v>94</v>
      </c>
      <c r="R90" s="64"/>
      <c r="S90" s="92"/>
      <c r="T90" s="92"/>
      <c r="U90" s="92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7"/>
      <c r="BB90" s="67"/>
      <c r="BC90" s="67"/>
      <c r="BD90" s="67"/>
    </row>
    <row r="91" spans="1:56" s="66" customFormat="1" ht="15" customHeight="1">
      <c r="A91" s="785" t="s">
        <v>1735</v>
      </c>
      <c r="B91" s="135" t="s">
        <v>191</v>
      </c>
      <c r="C91" s="542" t="s">
        <v>1029</v>
      </c>
      <c r="D91" s="542" t="s">
        <v>1030</v>
      </c>
      <c r="E91" s="542" t="s">
        <v>89</v>
      </c>
      <c r="F91" s="542" t="s">
        <v>116</v>
      </c>
      <c r="G91" s="663">
        <f>H91+H92</f>
        <v>4878</v>
      </c>
      <c r="H91" s="146">
        <v>2080</v>
      </c>
      <c r="I91" s="532">
        <f>327300+2800</f>
        <v>330100</v>
      </c>
      <c r="J91" s="160"/>
      <c r="K91" s="145">
        <f t="shared" si="15"/>
        <v>0.35</v>
      </c>
      <c r="L91" s="550">
        <f>SUM(G91-(G91*K91))</f>
        <v>3170.7</v>
      </c>
      <c r="M91" s="146">
        <f t="shared" si="16"/>
        <v>1352</v>
      </c>
      <c r="N91" s="358">
        <f t="shared" si="17"/>
        <v>0</v>
      </c>
      <c r="O91" s="491" t="s">
        <v>335</v>
      </c>
      <c r="P91" s="174">
        <v>0.313</v>
      </c>
      <c r="Q91" s="509">
        <v>47</v>
      </c>
      <c r="R91" s="64"/>
      <c r="S91" s="92"/>
      <c r="T91" s="92"/>
      <c r="U91" s="92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</row>
    <row r="92" spans="1:56" s="66" customFormat="1" ht="15" customHeight="1">
      <c r="A92" s="785"/>
      <c r="B92" s="135" t="s">
        <v>1724</v>
      </c>
      <c r="C92" s="668"/>
      <c r="D92" s="668"/>
      <c r="E92" s="542"/>
      <c r="F92" s="542"/>
      <c r="G92" s="664"/>
      <c r="H92" s="146">
        <f>2760+38</f>
        <v>2798</v>
      </c>
      <c r="I92" s="532"/>
      <c r="J92" s="160"/>
      <c r="K92" s="145">
        <f t="shared" si="15"/>
        <v>0.35</v>
      </c>
      <c r="L92" s="550"/>
      <c r="M92" s="146">
        <f t="shared" si="16"/>
        <v>1818.7</v>
      </c>
      <c r="N92" s="358">
        <f t="shared" si="17"/>
        <v>0</v>
      </c>
      <c r="O92" s="491" t="s">
        <v>334</v>
      </c>
      <c r="P92" s="174">
        <v>0.66900000000000004</v>
      </c>
      <c r="Q92" s="509">
        <v>113</v>
      </c>
      <c r="R92" s="64"/>
      <c r="S92" s="92"/>
      <c r="T92" s="92"/>
      <c r="U92" s="92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</row>
    <row r="93" spans="1:56" s="73" customFormat="1" ht="19.5" customHeight="1">
      <c r="A93" s="786" t="s">
        <v>497</v>
      </c>
      <c r="B93" s="707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149"/>
      <c r="O93" s="150"/>
      <c r="P93" s="150"/>
      <c r="Q93" s="508"/>
      <c r="R93" s="57"/>
      <c r="S93" s="92"/>
      <c r="T93" s="92"/>
      <c r="U93" s="92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</row>
    <row r="94" spans="1:56" s="66" customFormat="1" ht="15" customHeight="1">
      <c r="A94" s="787" t="s">
        <v>1736</v>
      </c>
      <c r="B94" s="135" t="s">
        <v>192</v>
      </c>
      <c r="C94" s="542" t="s">
        <v>1031</v>
      </c>
      <c r="D94" s="542" t="s">
        <v>1032</v>
      </c>
      <c r="E94" s="535" t="s">
        <v>117</v>
      </c>
      <c r="F94" s="535" t="s">
        <v>144</v>
      </c>
      <c r="G94" s="663">
        <f>H94+H95</f>
        <v>4669</v>
      </c>
      <c r="H94" s="146">
        <v>2080</v>
      </c>
      <c r="I94" s="532">
        <f>313200+2800</f>
        <v>316000</v>
      </c>
      <c r="J94" s="160"/>
      <c r="K94" s="145">
        <f t="shared" si="15"/>
        <v>0.35</v>
      </c>
      <c r="L94" s="550">
        <f>SUM(G94-(G94*K94))</f>
        <v>3034.8500000000004</v>
      </c>
      <c r="M94" s="146">
        <f t="shared" ref="M94:M103" si="18">SUM(H94-(H94*K94))</f>
        <v>1352</v>
      </c>
      <c r="N94" s="358">
        <f t="shared" ref="N94:N103" si="19">J94*M94</f>
        <v>0</v>
      </c>
      <c r="O94" s="491" t="s">
        <v>336</v>
      </c>
      <c r="P94" s="478">
        <v>0.36199999999999999</v>
      </c>
      <c r="Q94" s="506">
        <v>51</v>
      </c>
      <c r="R94" s="64"/>
      <c r="S94" s="92"/>
      <c r="T94" s="92"/>
      <c r="U94" s="92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</row>
    <row r="95" spans="1:56" s="66" customFormat="1" ht="15" customHeight="1">
      <c r="A95" s="787"/>
      <c r="B95" s="135" t="s">
        <v>1722</v>
      </c>
      <c r="C95" s="662"/>
      <c r="D95" s="662"/>
      <c r="E95" s="535"/>
      <c r="F95" s="535"/>
      <c r="G95" s="664"/>
      <c r="H95" s="146">
        <f>2551+38</f>
        <v>2589</v>
      </c>
      <c r="I95" s="532"/>
      <c r="J95" s="160"/>
      <c r="K95" s="145">
        <f t="shared" si="15"/>
        <v>0.35</v>
      </c>
      <c r="L95" s="550"/>
      <c r="M95" s="146">
        <f t="shared" si="18"/>
        <v>1682.85</v>
      </c>
      <c r="N95" s="358">
        <f t="shared" si="19"/>
        <v>0</v>
      </c>
      <c r="O95" s="491" t="s">
        <v>334</v>
      </c>
      <c r="P95" s="478">
        <v>0.66900000000000004</v>
      </c>
      <c r="Q95" s="506">
        <v>117</v>
      </c>
      <c r="R95" s="64"/>
      <c r="S95" s="92"/>
      <c r="T95" s="92"/>
      <c r="U95" s="92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</row>
    <row r="96" spans="1:56" s="66" customFormat="1" ht="15" customHeight="1">
      <c r="A96" s="787" t="s">
        <v>1737</v>
      </c>
      <c r="B96" s="135" t="s">
        <v>192</v>
      </c>
      <c r="C96" s="555" t="s">
        <v>1012</v>
      </c>
      <c r="D96" s="555" t="s">
        <v>1013</v>
      </c>
      <c r="E96" s="535" t="s">
        <v>117</v>
      </c>
      <c r="F96" s="535" t="s">
        <v>144</v>
      </c>
      <c r="G96" s="663">
        <f>H96+H97</f>
        <v>4878</v>
      </c>
      <c r="H96" s="146">
        <v>2080</v>
      </c>
      <c r="I96" s="532">
        <f>327300+2800</f>
        <v>330100</v>
      </c>
      <c r="J96" s="160"/>
      <c r="K96" s="145">
        <f t="shared" si="15"/>
        <v>0.35</v>
      </c>
      <c r="L96" s="550">
        <f>SUM(G96-(G96*K96))</f>
        <v>3170.7</v>
      </c>
      <c r="M96" s="146">
        <f t="shared" si="18"/>
        <v>1352</v>
      </c>
      <c r="N96" s="358">
        <f>J96*M96</f>
        <v>0</v>
      </c>
      <c r="O96" s="491" t="s">
        <v>336</v>
      </c>
      <c r="P96" s="478">
        <v>0.36199999999999999</v>
      </c>
      <c r="Q96" s="506">
        <v>51</v>
      </c>
      <c r="R96" s="64"/>
      <c r="S96" s="92"/>
      <c r="T96" s="92"/>
      <c r="U96" s="92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</row>
    <row r="97" spans="1:52" s="66" customFormat="1" ht="15" customHeight="1">
      <c r="A97" s="787"/>
      <c r="B97" s="135" t="s">
        <v>1724</v>
      </c>
      <c r="C97" s="662"/>
      <c r="D97" s="662"/>
      <c r="E97" s="535"/>
      <c r="F97" s="535"/>
      <c r="G97" s="664"/>
      <c r="H97" s="146">
        <f>2760+38</f>
        <v>2798</v>
      </c>
      <c r="I97" s="532"/>
      <c r="J97" s="160"/>
      <c r="K97" s="145">
        <f t="shared" si="15"/>
        <v>0.35</v>
      </c>
      <c r="L97" s="550"/>
      <c r="M97" s="146">
        <f t="shared" si="18"/>
        <v>1818.7</v>
      </c>
      <c r="N97" s="358">
        <f>J97*M97</f>
        <v>0</v>
      </c>
      <c r="O97" s="491" t="s">
        <v>334</v>
      </c>
      <c r="P97" s="478">
        <v>0.66900000000000004</v>
      </c>
      <c r="Q97" s="506">
        <v>117</v>
      </c>
      <c r="R97" s="64"/>
      <c r="S97" s="92"/>
      <c r="T97" s="92"/>
      <c r="U97" s="92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</row>
    <row r="98" spans="1:52" s="7" customFormat="1" ht="15" customHeight="1">
      <c r="A98" s="788" t="s">
        <v>1738</v>
      </c>
      <c r="B98" s="135" t="s">
        <v>193</v>
      </c>
      <c r="C98" s="535" t="s">
        <v>1033</v>
      </c>
      <c r="D98" s="535" t="s">
        <v>1034</v>
      </c>
      <c r="E98" s="535" t="s">
        <v>123</v>
      </c>
      <c r="F98" s="535" t="s">
        <v>136</v>
      </c>
      <c r="G98" s="663">
        <f>H98+H99</f>
        <v>6126</v>
      </c>
      <c r="H98" s="146">
        <v>3247</v>
      </c>
      <c r="I98" s="532">
        <f>411600+2800</f>
        <v>414400</v>
      </c>
      <c r="J98" s="160"/>
      <c r="K98" s="145">
        <f t="shared" si="15"/>
        <v>0.35</v>
      </c>
      <c r="L98" s="550">
        <f>SUM(G98-(G98*K98))</f>
        <v>3981.9</v>
      </c>
      <c r="M98" s="146">
        <f t="shared" si="18"/>
        <v>2110.5500000000002</v>
      </c>
      <c r="N98" s="358">
        <f t="shared" si="19"/>
        <v>0</v>
      </c>
      <c r="O98" s="491" t="s">
        <v>336</v>
      </c>
      <c r="P98" s="478">
        <v>0.36199999999999999</v>
      </c>
      <c r="Q98" s="506">
        <v>51</v>
      </c>
      <c r="R98" s="57"/>
      <c r="S98" s="92"/>
      <c r="T98" s="92"/>
      <c r="U98" s="92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</row>
    <row r="99" spans="1:52" s="7" customFormat="1" ht="15" customHeight="1">
      <c r="A99" s="788"/>
      <c r="B99" s="135" t="s">
        <v>1726</v>
      </c>
      <c r="C99" s="536"/>
      <c r="D99" s="536"/>
      <c r="E99" s="535"/>
      <c r="F99" s="535"/>
      <c r="G99" s="664"/>
      <c r="H99" s="146">
        <f>2841+38</f>
        <v>2879</v>
      </c>
      <c r="I99" s="532"/>
      <c r="J99" s="160"/>
      <c r="K99" s="145">
        <f t="shared" si="15"/>
        <v>0.35</v>
      </c>
      <c r="L99" s="550"/>
      <c r="M99" s="146">
        <f t="shared" si="18"/>
        <v>1871.35</v>
      </c>
      <c r="N99" s="358">
        <f t="shared" si="19"/>
        <v>0</v>
      </c>
      <c r="O99" s="491" t="s">
        <v>334</v>
      </c>
      <c r="P99" s="478">
        <v>0.66900000000000004</v>
      </c>
      <c r="Q99" s="506">
        <v>94</v>
      </c>
      <c r="R99" s="57"/>
      <c r="S99" s="92"/>
      <c r="T99" s="92"/>
      <c r="U99" s="92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</row>
    <row r="100" spans="1:52" s="66" customFormat="1" ht="15" customHeight="1">
      <c r="A100" s="788" t="s">
        <v>1739</v>
      </c>
      <c r="B100" s="135" t="s">
        <v>193</v>
      </c>
      <c r="C100" s="542" t="s">
        <v>1035</v>
      </c>
      <c r="D100" s="555" t="s">
        <v>1015</v>
      </c>
      <c r="E100" s="555" t="s">
        <v>135</v>
      </c>
      <c r="F100" s="555" t="s">
        <v>145</v>
      </c>
      <c r="G100" s="663">
        <f>H100+H101</f>
        <v>6385</v>
      </c>
      <c r="H100" s="146">
        <v>3247</v>
      </c>
      <c r="I100" s="532">
        <f>429100+2800</f>
        <v>431900</v>
      </c>
      <c r="J100" s="160"/>
      <c r="K100" s="145">
        <f t="shared" si="15"/>
        <v>0.35</v>
      </c>
      <c r="L100" s="550">
        <f>SUM(G100-(G100*K100))</f>
        <v>4150.25</v>
      </c>
      <c r="M100" s="146">
        <f t="shared" si="18"/>
        <v>2110.5500000000002</v>
      </c>
      <c r="N100" s="358">
        <f t="shared" si="19"/>
        <v>0</v>
      </c>
      <c r="O100" s="491" t="s">
        <v>336</v>
      </c>
      <c r="P100" s="478">
        <v>0.36199999999999999</v>
      </c>
      <c r="Q100" s="506">
        <v>51</v>
      </c>
      <c r="R100" s="64"/>
      <c r="S100" s="92"/>
      <c r="T100" s="92"/>
      <c r="U100" s="92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</row>
    <row r="101" spans="1:52" s="66" customFormat="1" ht="15" customHeight="1">
      <c r="A101" s="789"/>
      <c r="B101" s="135" t="s">
        <v>1728</v>
      </c>
      <c r="C101" s="662"/>
      <c r="D101" s="662"/>
      <c r="E101" s="555"/>
      <c r="F101" s="555"/>
      <c r="G101" s="664"/>
      <c r="H101" s="146">
        <f>3100+38</f>
        <v>3138</v>
      </c>
      <c r="I101" s="532"/>
      <c r="J101" s="160"/>
      <c r="K101" s="145">
        <f t="shared" si="15"/>
        <v>0.35</v>
      </c>
      <c r="L101" s="550"/>
      <c r="M101" s="146">
        <f t="shared" si="18"/>
        <v>2039.7</v>
      </c>
      <c r="N101" s="358">
        <f t="shared" si="19"/>
        <v>0</v>
      </c>
      <c r="O101" s="491" t="s">
        <v>334</v>
      </c>
      <c r="P101" s="478">
        <v>0.66900000000000004</v>
      </c>
      <c r="Q101" s="506">
        <v>117</v>
      </c>
      <c r="R101" s="64"/>
      <c r="S101" s="92"/>
      <c r="T101" s="92"/>
      <c r="U101" s="92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</row>
    <row r="102" spans="1:52" s="66" customFormat="1" ht="15" customHeight="1">
      <c r="A102" s="788" t="s">
        <v>1740</v>
      </c>
      <c r="B102" s="135" t="s">
        <v>237</v>
      </c>
      <c r="C102" s="704" t="s">
        <v>1036</v>
      </c>
      <c r="D102" s="704" t="s">
        <v>1037</v>
      </c>
      <c r="E102" s="555" t="s">
        <v>240</v>
      </c>
      <c r="F102" s="555" t="s">
        <v>381</v>
      </c>
      <c r="G102" s="663">
        <f>H102+H103</f>
        <v>6824</v>
      </c>
      <c r="H102" s="146">
        <v>3474</v>
      </c>
      <c r="I102" s="532">
        <f>458800+2800</f>
        <v>461600</v>
      </c>
      <c r="J102" s="160"/>
      <c r="K102" s="145">
        <f t="shared" si="15"/>
        <v>0.35</v>
      </c>
      <c r="L102" s="550">
        <f>SUM(G102-(G102*K102))</f>
        <v>4435.6000000000004</v>
      </c>
      <c r="M102" s="146">
        <f t="shared" si="18"/>
        <v>2258.1000000000004</v>
      </c>
      <c r="N102" s="358">
        <f t="shared" si="19"/>
        <v>0</v>
      </c>
      <c r="O102" s="175" t="s">
        <v>345</v>
      </c>
      <c r="P102" s="176">
        <v>0.46200000000000002</v>
      </c>
      <c r="Q102" s="510">
        <v>61</v>
      </c>
      <c r="R102" s="64"/>
      <c r="S102" s="92"/>
      <c r="T102" s="92"/>
      <c r="U102" s="92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</row>
    <row r="103" spans="1:52" s="66" customFormat="1" ht="15" customHeight="1">
      <c r="A103" s="789"/>
      <c r="B103" s="135" t="s">
        <v>1741</v>
      </c>
      <c r="C103" s="705"/>
      <c r="D103" s="705"/>
      <c r="E103" s="555"/>
      <c r="F103" s="555"/>
      <c r="G103" s="664"/>
      <c r="H103" s="146">
        <f>3312+38</f>
        <v>3350</v>
      </c>
      <c r="I103" s="532"/>
      <c r="J103" s="160"/>
      <c r="K103" s="145">
        <f t="shared" si="15"/>
        <v>0.35</v>
      </c>
      <c r="L103" s="550"/>
      <c r="M103" s="146">
        <f t="shared" si="18"/>
        <v>2177.5</v>
      </c>
      <c r="N103" s="358">
        <f t="shared" si="19"/>
        <v>0</v>
      </c>
      <c r="O103" s="175" t="s">
        <v>343</v>
      </c>
      <c r="P103" s="478">
        <v>0.66800000000000004</v>
      </c>
      <c r="Q103" s="506">
        <v>113</v>
      </c>
      <c r="R103" s="64"/>
      <c r="S103" s="92"/>
      <c r="T103" s="92"/>
      <c r="U103" s="92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</row>
    <row r="104" spans="1:52" s="7" customFormat="1" ht="41.25" customHeight="1">
      <c r="A104" s="784" t="s">
        <v>1040</v>
      </c>
      <c r="B104" s="653"/>
      <c r="C104" s="653"/>
      <c r="D104" s="653"/>
      <c r="E104" s="653"/>
      <c r="F104" s="653"/>
      <c r="G104" s="653"/>
      <c r="H104" s="653"/>
      <c r="I104" s="653"/>
      <c r="J104" s="653"/>
      <c r="K104" s="653"/>
      <c r="L104" s="653"/>
      <c r="M104" s="653"/>
      <c r="N104" s="149"/>
      <c r="O104" s="150"/>
      <c r="P104" s="150"/>
      <c r="Q104" s="508"/>
      <c r="R104" s="57"/>
      <c r="S104" s="92"/>
      <c r="T104" s="92"/>
      <c r="U104" s="92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</row>
    <row r="105" spans="1:52" s="7" customFormat="1" ht="34.5" customHeight="1">
      <c r="A105" s="538" t="s">
        <v>157</v>
      </c>
      <c r="B105" s="538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75"/>
      <c r="S105" s="92"/>
      <c r="T105" s="92"/>
      <c r="U105" s="92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</row>
    <row r="106" spans="1:52" s="7" customFormat="1" ht="15" customHeight="1">
      <c r="A106" s="780" t="s">
        <v>1742</v>
      </c>
      <c r="B106" s="143" t="s">
        <v>66</v>
      </c>
      <c r="C106" s="535" t="s">
        <v>1003</v>
      </c>
      <c r="D106" s="535" t="s">
        <v>1004</v>
      </c>
      <c r="E106" s="535" t="s">
        <v>89</v>
      </c>
      <c r="F106" s="535" t="s">
        <v>116</v>
      </c>
      <c r="G106" s="663">
        <f>H106+H107</f>
        <v>2050</v>
      </c>
      <c r="H106" s="146">
        <v>1048</v>
      </c>
      <c r="I106" s="532">
        <v>136100</v>
      </c>
      <c r="J106" s="160"/>
      <c r="K106" s="145">
        <f t="shared" ref="K106:K109" si="20">$H$3</f>
        <v>0.35</v>
      </c>
      <c r="L106" s="550">
        <f>SUM(G106-(G106*K106))</f>
        <v>1332.5</v>
      </c>
      <c r="M106" s="146">
        <f>SUM(H106-(H106*K106))</f>
        <v>681.2</v>
      </c>
      <c r="N106" s="358">
        <f t="shared" ref="N106:N123" si="21">J106*M106</f>
        <v>0</v>
      </c>
      <c r="O106" s="491" t="s">
        <v>549</v>
      </c>
      <c r="P106" s="478">
        <v>0.29099999999999998</v>
      </c>
      <c r="Q106" s="506">
        <v>36</v>
      </c>
      <c r="R106" s="57"/>
      <c r="S106" s="92"/>
      <c r="T106" s="92"/>
      <c r="U106" s="92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</row>
    <row r="107" spans="1:52" s="7" customFormat="1" ht="15" customHeight="1">
      <c r="A107" s="781"/>
      <c r="B107" s="143" t="s">
        <v>1743</v>
      </c>
      <c r="C107" s="536"/>
      <c r="D107" s="536"/>
      <c r="E107" s="535"/>
      <c r="F107" s="535"/>
      <c r="G107" s="664"/>
      <c r="H107" s="146">
        <f>964+38</f>
        <v>1002</v>
      </c>
      <c r="I107" s="532"/>
      <c r="J107" s="160"/>
      <c r="K107" s="145">
        <f t="shared" si="20"/>
        <v>0.35</v>
      </c>
      <c r="L107" s="550"/>
      <c r="M107" s="146">
        <f>SUM(H107-(H107*K107))</f>
        <v>651.29999999999995</v>
      </c>
      <c r="N107" s="358">
        <f t="shared" si="21"/>
        <v>0</v>
      </c>
      <c r="O107" s="491" t="s">
        <v>319</v>
      </c>
      <c r="P107" s="478">
        <v>0.249</v>
      </c>
      <c r="Q107" s="506">
        <v>44</v>
      </c>
      <c r="R107" s="57"/>
      <c r="S107" s="92"/>
      <c r="T107" s="92"/>
      <c r="U107" s="92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</row>
    <row r="108" spans="1:52" s="7" customFormat="1" ht="15" customHeight="1">
      <c r="A108" s="780" t="s">
        <v>1744</v>
      </c>
      <c r="B108" s="143" t="s">
        <v>202</v>
      </c>
      <c r="C108" s="633" t="s">
        <v>988</v>
      </c>
      <c r="D108" s="555" t="s">
        <v>1006</v>
      </c>
      <c r="E108" s="542" t="s">
        <v>117</v>
      </c>
      <c r="F108" s="542" t="s">
        <v>542</v>
      </c>
      <c r="G108" s="663">
        <f>H108+H109</f>
        <v>2442</v>
      </c>
      <c r="H108" s="146">
        <v>1501</v>
      </c>
      <c r="I108" s="532">
        <v>162600</v>
      </c>
      <c r="J108" s="160"/>
      <c r="K108" s="145">
        <f t="shared" si="20"/>
        <v>0.35</v>
      </c>
      <c r="L108" s="550">
        <f>SUM(G108-(G108*K108))</f>
        <v>1587.3000000000002</v>
      </c>
      <c r="M108" s="146">
        <f>SUM(H108-(H108*K108))</f>
        <v>975.65</v>
      </c>
      <c r="N108" s="358">
        <f t="shared" si="21"/>
        <v>0</v>
      </c>
      <c r="O108" s="491" t="s">
        <v>337</v>
      </c>
      <c r="P108" s="478">
        <v>0.29099999999999998</v>
      </c>
      <c r="Q108" s="506">
        <v>36</v>
      </c>
      <c r="R108" s="57"/>
      <c r="S108" s="92"/>
      <c r="T108" s="92"/>
      <c r="U108" s="92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</row>
    <row r="109" spans="1:52" s="7" customFormat="1" ht="15" customHeight="1">
      <c r="A109" s="781"/>
      <c r="B109" s="143" t="s">
        <v>1713</v>
      </c>
      <c r="C109" s="668"/>
      <c r="D109" s="662"/>
      <c r="E109" s="542"/>
      <c r="F109" s="542"/>
      <c r="G109" s="664"/>
      <c r="H109" s="146">
        <f>903+38</f>
        <v>941</v>
      </c>
      <c r="I109" s="532"/>
      <c r="J109" s="160"/>
      <c r="K109" s="145">
        <f t="shared" si="20"/>
        <v>0.35</v>
      </c>
      <c r="L109" s="550"/>
      <c r="M109" s="146">
        <f>SUM(H109-(H109*K109))</f>
        <v>611.65000000000009</v>
      </c>
      <c r="N109" s="358">
        <f t="shared" si="21"/>
        <v>0</v>
      </c>
      <c r="O109" s="491" t="s">
        <v>328</v>
      </c>
      <c r="P109" s="478">
        <v>0.249</v>
      </c>
      <c r="Q109" s="506">
        <v>48</v>
      </c>
      <c r="R109" s="57"/>
      <c r="S109" s="92"/>
      <c r="T109" s="92"/>
      <c r="U109" s="92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</row>
    <row r="110" spans="1:52" s="7" customFormat="1" ht="39.75" customHeight="1">
      <c r="A110" s="784" t="s">
        <v>1041</v>
      </c>
      <c r="B110" s="653"/>
      <c r="C110" s="653"/>
      <c r="D110" s="653"/>
      <c r="E110" s="653"/>
      <c r="F110" s="653"/>
      <c r="G110" s="653"/>
      <c r="H110" s="653"/>
      <c r="I110" s="653"/>
      <c r="J110" s="653"/>
      <c r="K110" s="653"/>
      <c r="L110" s="653"/>
      <c r="M110" s="653"/>
      <c r="N110" s="149"/>
      <c r="O110" s="150"/>
      <c r="P110" s="150"/>
      <c r="Q110" s="508"/>
      <c r="R110" s="57"/>
      <c r="S110" s="92"/>
      <c r="T110" s="92"/>
      <c r="U110" s="92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</row>
    <row r="111" spans="1:52" s="7" customFormat="1" ht="34.5" customHeight="1">
      <c r="A111" s="538" t="s">
        <v>499</v>
      </c>
      <c r="B111" s="538"/>
      <c r="C111" s="538"/>
      <c r="D111" s="538"/>
      <c r="E111" s="538"/>
      <c r="F111" s="538"/>
      <c r="G111" s="538"/>
      <c r="H111" s="538"/>
      <c r="I111" s="538"/>
      <c r="J111" s="538"/>
      <c r="K111" s="538"/>
      <c r="L111" s="538"/>
      <c r="M111" s="538"/>
      <c r="N111" s="538"/>
      <c r="O111" s="538"/>
      <c r="P111" s="538"/>
      <c r="Q111" s="538"/>
      <c r="R111" s="75"/>
      <c r="S111" s="92"/>
      <c r="T111" s="92"/>
      <c r="U111" s="92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</row>
    <row r="112" spans="1:52" s="7" customFormat="1" ht="15" customHeight="1">
      <c r="A112" s="780" t="s">
        <v>1745</v>
      </c>
      <c r="B112" s="143" t="s">
        <v>291</v>
      </c>
      <c r="C112" s="555" t="s">
        <v>1042</v>
      </c>
      <c r="D112" s="555" t="s">
        <v>1043</v>
      </c>
      <c r="E112" s="555" t="s">
        <v>89</v>
      </c>
      <c r="F112" s="555" t="s">
        <v>116</v>
      </c>
      <c r="G112" s="663">
        <f>H112+H113</f>
        <v>3374</v>
      </c>
      <c r="H112" s="146">
        <v>1668</v>
      </c>
      <c r="I112" s="532">
        <f>225600+2800</f>
        <v>228400</v>
      </c>
      <c r="J112" s="160"/>
      <c r="K112" s="145">
        <f t="shared" ref="K112:K124" si="22">$H$3</f>
        <v>0.35</v>
      </c>
      <c r="L112" s="550">
        <f>SUM(G112-(G112*K112))</f>
        <v>2193.1000000000004</v>
      </c>
      <c r="M112" s="146">
        <f t="shared" ref="M112:M123" si="23">SUM(H112-(H112*K112))</f>
        <v>1084.2</v>
      </c>
      <c r="N112" s="358">
        <f t="shared" si="21"/>
        <v>0</v>
      </c>
      <c r="O112" s="491" t="s">
        <v>338</v>
      </c>
      <c r="P112" s="478">
        <v>0.45200000000000001</v>
      </c>
      <c r="Q112" s="506">
        <v>58</v>
      </c>
      <c r="R112" s="57"/>
      <c r="S112" s="92"/>
      <c r="T112" s="92"/>
      <c r="U112" s="92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</row>
    <row r="113" spans="1:57" s="7" customFormat="1" ht="15" customHeight="1">
      <c r="A113" s="780"/>
      <c r="B113" s="143" t="s">
        <v>1715</v>
      </c>
      <c r="C113" s="555"/>
      <c r="D113" s="555"/>
      <c r="E113" s="555"/>
      <c r="F113" s="555"/>
      <c r="G113" s="664"/>
      <c r="H113" s="146">
        <f>1668+38</f>
        <v>1706</v>
      </c>
      <c r="I113" s="532"/>
      <c r="J113" s="160"/>
      <c r="K113" s="145">
        <f t="shared" si="22"/>
        <v>0.35</v>
      </c>
      <c r="L113" s="550"/>
      <c r="M113" s="146">
        <f t="shared" si="23"/>
        <v>1108.9000000000001</v>
      </c>
      <c r="N113" s="358">
        <f t="shared" si="21"/>
        <v>0</v>
      </c>
      <c r="O113" s="491" t="s">
        <v>320</v>
      </c>
      <c r="P113" s="174">
        <v>0.45300000000000001</v>
      </c>
      <c r="Q113" s="509">
        <v>68</v>
      </c>
      <c r="R113" s="57"/>
      <c r="S113" s="92"/>
      <c r="T113" s="92"/>
      <c r="U113" s="92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</row>
    <row r="114" spans="1:57" s="68" customFormat="1" ht="15" customHeight="1">
      <c r="A114" s="780" t="s">
        <v>1746</v>
      </c>
      <c r="B114" s="143" t="s">
        <v>292</v>
      </c>
      <c r="C114" s="535" t="s">
        <v>1044</v>
      </c>
      <c r="D114" s="535" t="s">
        <v>1045</v>
      </c>
      <c r="E114" s="535" t="s">
        <v>89</v>
      </c>
      <c r="F114" s="535" t="s">
        <v>133</v>
      </c>
      <c r="G114" s="663">
        <f>H114+H115</f>
        <v>4294</v>
      </c>
      <c r="H114" s="146">
        <v>2228</v>
      </c>
      <c r="I114" s="532">
        <f>287800+2800</f>
        <v>290600</v>
      </c>
      <c r="J114" s="160"/>
      <c r="K114" s="145">
        <f t="shared" si="22"/>
        <v>0.35</v>
      </c>
      <c r="L114" s="550">
        <f>SUM(G114-(G114*K114))</f>
        <v>2791.1000000000004</v>
      </c>
      <c r="M114" s="146">
        <f t="shared" si="23"/>
        <v>1448.2</v>
      </c>
      <c r="N114" s="358">
        <f t="shared" si="21"/>
        <v>0</v>
      </c>
      <c r="O114" s="491" t="s">
        <v>338</v>
      </c>
      <c r="P114" s="174">
        <v>0.45200000000000001</v>
      </c>
      <c r="Q114" s="509">
        <v>58</v>
      </c>
      <c r="R114" s="64"/>
      <c r="S114" s="92"/>
      <c r="T114" s="92"/>
      <c r="U114" s="92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</row>
    <row r="115" spans="1:57" s="68" customFormat="1" ht="15" customHeight="1">
      <c r="A115" s="780"/>
      <c r="B115" s="143" t="s">
        <v>1718</v>
      </c>
      <c r="C115" s="535"/>
      <c r="D115" s="535"/>
      <c r="E115" s="535"/>
      <c r="F115" s="535"/>
      <c r="G115" s="664"/>
      <c r="H115" s="146">
        <f>2028+38</f>
        <v>2066</v>
      </c>
      <c r="I115" s="532"/>
      <c r="J115" s="160"/>
      <c r="K115" s="145">
        <f t="shared" si="22"/>
        <v>0.35</v>
      </c>
      <c r="L115" s="550"/>
      <c r="M115" s="146">
        <f t="shared" si="23"/>
        <v>1342.9</v>
      </c>
      <c r="N115" s="358">
        <f t="shared" si="21"/>
        <v>0</v>
      </c>
      <c r="O115" s="491" t="s">
        <v>550</v>
      </c>
      <c r="P115" s="174">
        <v>0.45300000000000001</v>
      </c>
      <c r="Q115" s="509">
        <v>68</v>
      </c>
      <c r="R115" s="64"/>
      <c r="S115" s="92"/>
      <c r="T115" s="92"/>
      <c r="U115" s="92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</row>
    <row r="116" spans="1:57" s="66" customFormat="1" ht="15" customHeight="1">
      <c r="A116" s="785" t="s">
        <v>1747</v>
      </c>
      <c r="B116" s="143" t="s">
        <v>186</v>
      </c>
      <c r="C116" s="555" t="s">
        <v>1046</v>
      </c>
      <c r="D116" s="555" t="s">
        <v>1047</v>
      </c>
      <c r="E116" s="555" t="s">
        <v>137</v>
      </c>
      <c r="F116" s="555" t="s">
        <v>138</v>
      </c>
      <c r="G116" s="663">
        <f>H116+H117</f>
        <v>4542</v>
      </c>
      <c r="H116" s="146">
        <v>2228</v>
      </c>
      <c r="I116" s="532">
        <f>304600+2800</f>
        <v>307400</v>
      </c>
      <c r="J116" s="160"/>
      <c r="K116" s="145">
        <f t="shared" si="22"/>
        <v>0.35</v>
      </c>
      <c r="L116" s="550">
        <f>SUM(G116-(G116*K116))</f>
        <v>2952.3</v>
      </c>
      <c r="M116" s="146">
        <f t="shared" si="23"/>
        <v>1448.2</v>
      </c>
      <c r="N116" s="358">
        <f t="shared" si="21"/>
        <v>0</v>
      </c>
      <c r="O116" s="491" t="s">
        <v>338</v>
      </c>
      <c r="P116" s="174">
        <v>0.45200000000000001</v>
      </c>
      <c r="Q116" s="509">
        <v>58</v>
      </c>
      <c r="R116" s="64"/>
      <c r="S116" s="92"/>
      <c r="T116" s="92"/>
      <c r="U116" s="92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</row>
    <row r="117" spans="1:57" s="66" customFormat="1" ht="15" customHeight="1">
      <c r="A117" s="785"/>
      <c r="B117" s="143" t="s">
        <v>1720</v>
      </c>
      <c r="C117" s="662"/>
      <c r="D117" s="662"/>
      <c r="E117" s="555"/>
      <c r="F117" s="555"/>
      <c r="G117" s="664"/>
      <c r="H117" s="146">
        <f>2276+38</f>
        <v>2314</v>
      </c>
      <c r="I117" s="532"/>
      <c r="J117" s="160"/>
      <c r="K117" s="145">
        <f t="shared" si="22"/>
        <v>0.35</v>
      </c>
      <c r="L117" s="550"/>
      <c r="M117" s="146">
        <f t="shared" si="23"/>
        <v>1504.1</v>
      </c>
      <c r="N117" s="358">
        <f t="shared" si="21"/>
        <v>0</v>
      </c>
      <c r="O117" s="491" t="s">
        <v>343</v>
      </c>
      <c r="P117" s="174">
        <v>0.66900000000000004</v>
      </c>
      <c r="Q117" s="509">
        <v>113</v>
      </c>
      <c r="R117" s="64"/>
      <c r="S117" s="92"/>
      <c r="T117" s="92"/>
      <c r="U117" s="92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</row>
    <row r="118" spans="1:57" s="66" customFormat="1" ht="15" customHeight="1">
      <c r="A118" s="780" t="s">
        <v>1748</v>
      </c>
      <c r="B118" s="143" t="s">
        <v>187</v>
      </c>
      <c r="C118" s="535" t="s">
        <v>1048</v>
      </c>
      <c r="D118" s="535" t="s">
        <v>1049</v>
      </c>
      <c r="E118" s="535" t="s">
        <v>89</v>
      </c>
      <c r="F118" s="535" t="s">
        <v>116</v>
      </c>
      <c r="G118" s="663">
        <f>H118+H119</f>
        <v>4818</v>
      </c>
      <c r="H118" s="146">
        <v>2229</v>
      </c>
      <c r="I118" s="532">
        <f>323200+2800</f>
        <v>326000</v>
      </c>
      <c r="J118" s="160"/>
      <c r="K118" s="145">
        <f t="shared" si="22"/>
        <v>0.35</v>
      </c>
      <c r="L118" s="550">
        <f>SUM(G118-(G118*K118))</f>
        <v>3131.7</v>
      </c>
      <c r="M118" s="146">
        <f t="shared" si="23"/>
        <v>1448.85</v>
      </c>
      <c r="N118" s="358">
        <f t="shared" si="21"/>
        <v>0</v>
      </c>
      <c r="O118" s="491" t="s">
        <v>338</v>
      </c>
      <c r="P118" s="174">
        <v>0.45200000000000001</v>
      </c>
      <c r="Q118" s="509">
        <v>58</v>
      </c>
      <c r="R118" s="64"/>
      <c r="S118" s="92"/>
      <c r="T118" s="92"/>
      <c r="U118" s="92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</row>
    <row r="119" spans="1:57" s="7" customFormat="1" ht="15" customHeight="1">
      <c r="A119" s="780"/>
      <c r="B119" s="143" t="s">
        <v>1722</v>
      </c>
      <c r="C119" s="535"/>
      <c r="D119" s="535"/>
      <c r="E119" s="535"/>
      <c r="F119" s="535"/>
      <c r="G119" s="664"/>
      <c r="H119" s="146">
        <f>2551+38</f>
        <v>2589</v>
      </c>
      <c r="I119" s="532"/>
      <c r="J119" s="160"/>
      <c r="K119" s="145">
        <f t="shared" si="22"/>
        <v>0.35</v>
      </c>
      <c r="L119" s="550"/>
      <c r="M119" s="146">
        <f t="shared" si="23"/>
        <v>1682.85</v>
      </c>
      <c r="N119" s="358">
        <f t="shared" si="21"/>
        <v>0</v>
      </c>
      <c r="O119" s="491" t="s">
        <v>334</v>
      </c>
      <c r="P119" s="174">
        <v>0.66900000000000004</v>
      </c>
      <c r="Q119" s="509">
        <v>94</v>
      </c>
      <c r="R119" s="57"/>
      <c r="S119" s="92"/>
      <c r="T119" s="92"/>
      <c r="U119" s="92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</row>
    <row r="120" spans="1:57" s="66" customFormat="1" ht="15" customHeight="1">
      <c r="A120" s="785" t="s">
        <v>1749</v>
      </c>
      <c r="B120" s="143" t="s">
        <v>187</v>
      </c>
      <c r="C120" s="542" t="s">
        <v>1029</v>
      </c>
      <c r="D120" s="542" t="s">
        <v>1030</v>
      </c>
      <c r="E120" s="555" t="s">
        <v>89</v>
      </c>
      <c r="F120" s="555" t="s">
        <v>116</v>
      </c>
      <c r="G120" s="663">
        <f>H120+H121</f>
        <v>5027</v>
      </c>
      <c r="H120" s="146">
        <v>2229</v>
      </c>
      <c r="I120" s="532">
        <f>337300+2800</f>
        <v>340100</v>
      </c>
      <c r="J120" s="160"/>
      <c r="K120" s="145">
        <f t="shared" si="22"/>
        <v>0.35</v>
      </c>
      <c r="L120" s="550">
        <f>SUM(G120-(G120*K120))</f>
        <v>3267.55</v>
      </c>
      <c r="M120" s="146">
        <f t="shared" si="23"/>
        <v>1448.85</v>
      </c>
      <c r="N120" s="358">
        <f t="shared" si="21"/>
        <v>0</v>
      </c>
      <c r="O120" s="491" t="s">
        <v>338</v>
      </c>
      <c r="P120" s="174">
        <v>0.45200000000000001</v>
      </c>
      <c r="Q120" s="509">
        <v>58</v>
      </c>
      <c r="R120" s="64"/>
      <c r="S120" s="92"/>
      <c r="T120" s="92"/>
      <c r="U120" s="92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</row>
    <row r="121" spans="1:57" s="66" customFormat="1" ht="15" customHeight="1">
      <c r="A121" s="785"/>
      <c r="B121" s="143" t="s">
        <v>1724</v>
      </c>
      <c r="C121" s="668"/>
      <c r="D121" s="668"/>
      <c r="E121" s="555"/>
      <c r="F121" s="555"/>
      <c r="G121" s="664"/>
      <c r="H121" s="146">
        <f>2760+38</f>
        <v>2798</v>
      </c>
      <c r="I121" s="532"/>
      <c r="J121" s="160"/>
      <c r="K121" s="145">
        <f t="shared" si="22"/>
        <v>0.35</v>
      </c>
      <c r="L121" s="550"/>
      <c r="M121" s="146">
        <f t="shared" si="23"/>
        <v>1818.7</v>
      </c>
      <c r="N121" s="358">
        <f t="shared" si="21"/>
        <v>0</v>
      </c>
      <c r="O121" s="491" t="s">
        <v>334</v>
      </c>
      <c r="P121" s="174">
        <v>0.66900000000000004</v>
      </c>
      <c r="Q121" s="509">
        <v>113</v>
      </c>
      <c r="R121" s="64"/>
      <c r="S121" s="92"/>
      <c r="T121" s="92"/>
      <c r="U121" s="92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</row>
    <row r="122" spans="1:57" s="66" customFormat="1" ht="15" customHeight="1">
      <c r="A122" s="780" t="s">
        <v>1750</v>
      </c>
      <c r="B122" s="135" t="s">
        <v>188</v>
      </c>
      <c r="C122" s="555" t="s">
        <v>1050</v>
      </c>
      <c r="D122" s="555" t="s">
        <v>1051</v>
      </c>
      <c r="E122" s="555" t="s">
        <v>135</v>
      </c>
      <c r="F122" s="555" t="s">
        <v>139</v>
      </c>
      <c r="G122" s="663">
        <f>H122+H123</f>
        <v>5630</v>
      </c>
      <c r="H122" s="146">
        <v>2492</v>
      </c>
      <c r="I122" s="532">
        <f>378100+2800</f>
        <v>380900</v>
      </c>
      <c r="J122" s="160"/>
      <c r="K122" s="145">
        <f t="shared" si="22"/>
        <v>0.35</v>
      </c>
      <c r="L122" s="550">
        <f>SUM(G122-(G122*K122))</f>
        <v>3659.5</v>
      </c>
      <c r="M122" s="146">
        <f t="shared" si="23"/>
        <v>1619.8000000000002</v>
      </c>
      <c r="N122" s="358">
        <f t="shared" si="21"/>
        <v>0</v>
      </c>
      <c r="O122" s="491" t="s">
        <v>338</v>
      </c>
      <c r="P122" s="174">
        <v>0.45200000000000001</v>
      </c>
      <c r="Q122" s="509">
        <v>60</v>
      </c>
      <c r="R122" s="64"/>
      <c r="S122" s="92"/>
      <c r="T122" s="92"/>
      <c r="U122" s="92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</row>
    <row r="123" spans="1:57" s="66" customFormat="1" ht="15" customHeight="1">
      <c r="A123" s="781"/>
      <c r="B123" s="135" t="s">
        <v>1728</v>
      </c>
      <c r="C123" s="662"/>
      <c r="D123" s="662"/>
      <c r="E123" s="555"/>
      <c r="F123" s="555"/>
      <c r="G123" s="664"/>
      <c r="H123" s="146">
        <f>3100+38</f>
        <v>3138</v>
      </c>
      <c r="I123" s="532"/>
      <c r="J123" s="160"/>
      <c r="K123" s="145">
        <f t="shared" si="22"/>
        <v>0.35</v>
      </c>
      <c r="L123" s="550"/>
      <c r="M123" s="146">
        <f t="shared" si="23"/>
        <v>2039.7</v>
      </c>
      <c r="N123" s="358">
        <f t="shared" si="21"/>
        <v>0</v>
      </c>
      <c r="O123" s="491" t="s">
        <v>334</v>
      </c>
      <c r="P123" s="174">
        <v>0.66900000000000004</v>
      </c>
      <c r="Q123" s="509">
        <v>113</v>
      </c>
      <c r="R123" s="64"/>
      <c r="S123" s="92"/>
      <c r="T123" s="92"/>
      <c r="U123" s="92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</row>
    <row r="124" spans="1:57" ht="13.5" hidden="1" thickBot="1">
      <c r="A124" s="511"/>
      <c r="B124" s="512"/>
      <c r="C124" s="512"/>
      <c r="D124" s="512"/>
      <c r="E124" s="513"/>
      <c r="F124" s="514"/>
      <c r="G124" s="514"/>
      <c r="H124" s="513"/>
      <c r="I124" s="513"/>
      <c r="J124" s="513"/>
      <c r="K124" s="145">
        <f t="shared" si="22"/>
        <v>0.35</v>
      </c>
      <c r="L124" s="515"/>
      <c r="M124" s="516"/>
      <c r="N124" s="517">
        <f>SUM(N10:N15)+SUM(N21:N24)+SUM(N28:N31)+SUM(N34:N45)+SUM(N48:N68)+SUM(N81:N92)+SUM(N94:N103)+SUM(N106:N109)+SUM(N112:N123)</f>
        <v>0</v>
      </c>
      <c r="O124" s="513"/>
      <c r="P124" s="513"/>
      <c r="Q124" s="518"/>
    </row>
    <row r="125" spans="1:57" s="82" customFormat="1" ht="15" customHeight="1">
      <c r="A125" s="383" t="s">
        <v>535</v>
      </c>
      <c r="B125" s="104"/>
      <c r="C125" s="105"/>
      <c r="D125" s="105"/>
      <c r="E125" s="105"/>
      <c r="F125" s="105"/>
      <c r="G125" s="106"/>
      <c r="H125" s="106"/>
      <c r="I125" s="106"/>
      <c r="J125" s="107"/>
      <c r="K125" s="108"/>
      <c r="L125" s="109"/>
      <c r="M125" s="110"/>
      <c r="N125" s="111"/>
      <c r="O125" s="366"/>
      <c r="P125" s="107"/>
      <c r="Q125" s="384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</row>
    <row r="126" spans="1:57" s="82" customFormat="1">
      <c r="A126" s="600" t="s">
        <v>817</v>
      </c>
      <c r="B126" s="601"/>
      <c r="C126" s="601"/>
      <c r="D126" s="601"/>
      <c r="E126" s="601"/>
      <c r="F126" s="601"/>
      <c r="G126" s="601"/>
      <c r="H126" s="601"/>
      <c r="I126" s="601"/>
      <c r="J126" s="601"/>
      <c r="K126" s="601"/>
      <c r="L126" s="601"/>
      <c r="M126" s="601"/>
      <c r="N126" s="601"/>
      <c r="O126" s="601"/>
      <c r="P126" s="601"/>
      <c r="Q126" s="602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</row>
    <row r="127" spans="1:57" s="82" customFormat="1">
      <c r="A127" s="597"/>
      <c r="B127" s="598"/>
      <c r="C127" s="598"/>
      <c r="D127" s="598"/>
      <c r="E127" s="598"/>
      <c r="F127" s="598"/>
      <c r="G127" s="598"/>
      <c r="H127" s="598"/>
      <c r="I127" s="598"/>
      <c r="J127" s="598"/>
      <c r="K127" s="598"/>
      <c r="L127" s="598"/>
      <c r="M127" s="598"/>
      <c r="N127" s="598"/>
      <c r="O127" s="598"/>
      <c r="P127" s="598"/>
      <c r="Q127" s="599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</row>
    <row r="128" spans="1:57" s="82" customFormat="1">
      <c r="A128" s="594" t="s">
        <v>816</v>
      </c>
      <c r="B128" s="595"/>
      <c r="C128" s="595"/>
      <c r="D128" s="595"/>
      <c r="E128" s="595"/>
      <c r="F128" s="595"/>
      <c r="G128" s="595"/>
      <c r="H128" s="595"/>
      <c r="I128" s="595"/>
      <c r="J128" s="595"/>
      <c r="K128" s="595"/>
      <c r="L128" s="595"/>
      <c r="M128" s="595"/>
      <c r="N128" s="595"/>
      <c r="O128" s="595"/>
      <c r="P128" s="595"/>
      <c r="Q128" s="596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</row>
    <row r="129" spans="1:57" s="82" customFormat="1">
      <c r="A129" s="591" t="s">
        <v>548</v>
      </c>
      <c r="B129" s="592"/>
      <c r="C129" s="592"/>
      <c r="D129" s="592"/>
      <c r="E129" s="592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3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</row>
    <row r="130" spans="1:57" s="82" customFormat="1">
      <c r="A130" s="591" t="s">
        <v>819</v>
      </c>
      <c r="B130" s="592"/>
      <c r="C130" s="592"/>
      <c r="D130" s="592"/>
      <c r="E130" s="592"/>
      <c r="F130" s="592"/>
      <c r="G130" s="592"/>
      <c r="H130" s="592"/>
      <c r="I130" s="592"/>
      <c r="J130" s="592"/>
      <c r="K130" s="592"/>
      <c r="L130" s="592"/>
      <c r="M130" s="592"/>
      <c r="N130" s="592"/>
      <c r="O130" s="592"/>
      <c r="P130" s="592"/>
      <c r="Q130" s="593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</row>
    <row r="131" spans="1:57" s="82" customFormat="1" ht="13" thickBot="1">
      <c r="A131" s="588" t="s">
        <v>563</v>
      </c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90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</row>
  </sheetData>
  <mergeCells count="374">
    <mergeCell ref="A126:Q126"/>
    <mergeCell ref="A127:Q127"/>
    <mergeCell ref="A128:Q128"/>
    <mergeCell ref="A129:Q129"/>
    <mergeCell ref="A130:Q130"/>
    <mergeCell ref="A131:Q131"/>
    <mergeCell ref="I120:I121"/>
    <mergeCell ref="L120:L121"/>
    <mergeCell ref="A122:A123"/>
    <mergeCell ref="C122:C123"/>
    <mergeCell ref="D122:D123"/>
    <mergeCell ref="E122:E123"/>
    <mergeCell ref="F122:F123"/>
    <mergeCell ref="G122:G123"/>
    <mergeCell ref="I122:I123"/>
    <mergeCell ref="L122:L123"/>
    <mergeCell ref="A120:A121"/>
    <mergeCell ref="C120:C121"/>
    <mergeCell ref="D120:D121"/>
    <mergeCell ref="E120:E121"/>
    <mergeCell ref="F120:F121"/>
    <mergeCell ref="G120:G121"/>
    <mergeCell ref="A118:A119"/>
    <mergeCell ref="C118:C119"/>
    <mergeCell ref="D118:D119"/>
    <mergeCell ref="E118:E119"/>
    <mergeCell ref="F118:F119"/>
    <mergeCell ref="G118:G119"/>
    <mergeCell ref="I118:I119"/>
    <mergeCell ref="L118:L119"/>
    <mergeCell ref="A116:A117"/>
    <mergeCell ref="C116:C117"/>
    <mergeCell ref="D116:D117"/>
    <mergeCell ref="E116:E117"/>
    <mergeCell ref="F116:F117"/>
    <mergeCell ref="G116:G117"/>
    <mergeCell ref="A114:A115"/>
    <mergeCell ref="C114:C115"/>
    <mergeCell ref="D114:D115"/>
    <mergeCell ref="E114:E115"/>
    <mergeCell ref="F114:F115"/>
    <mergeCell ref="G114:G115"/>
    <mergeCell ref="I114:I115"/>
    <mergeCell ref="L114:L115"/>
    <mergeCell ref="I116:I117"/>
    <mergeCell ref="L116:L117"/>
    <mergeCell ref="I108:I109"/>
    <mergeCell ref="L108:L109"/>
    <mergeCell ref="A110:M110"/>
    <mergeCell ref="A111:Q111"/>
    <mergeCell ref="A112:A113"/>
    <mergeCell ref="C112:C113"/>
    <mergeCell ref="D112:D113"/>
    <mergeCell ref="E112:E113"/>
    <mergeCell ref="F112:F113"/>
    <mergeCell ref="G112:G113"/>
    <mergeCell ref="A108:A109"/>
    <mergeCell ref="C108:C109"/>
    <mergeCell ref="D108:D109"/>
    <mergeCell ref="E108:E109"/>
    <mergeCell ref="F108:F109"/>
    <mergeCell ref="G108:G109"/>
    <mergeCell ref="I112:I113"/>
    <mergeCell ref="L112:L113"/>
    <mergeCell ref="A104:M104"/>
    <mergeCell ref="A105:Q105"/>
    <mergeCell ref="A106:A107"/>
    <mergeCell ref="C106:C107"/>
    <mergeCell ref="D106:D107"/>
    <mergeCell ref="E106:E107"/>
    <mergeCell ref="F106:F107"/>
    <mergeCell ref="G106:G107"/>
    <mergeCell ref="I106:I107"/>
    <mergeCell ref="L106:L107"/>
    <mergeCell ref="I100:I101"/>
    <mergeCell ref="L100:L101"/>
    <mergeCell ref="A102:A103"/>
    <mergeCell ref="C102:C103"/>
    <mergeCell ref="D102:D103"/>
    <mergeCell ref="E102:E103"/>
    <mergeCell ref="F102:F103"/>
    <mergeCell ref="G102:G103"/>
    <mergeCell ref="I102:I103"/>
    <mergeCell ref="L102:L103"/>
    <mergeCell ref="A100:A101"/>
    <mergeCell ref="C100:C101"/>
    <mergeCell ref="D100:D101"/>
    <mergeCell ref="E100:E101"/>
    <mergeCell ref="F100:F101"/>
    <mergeCell ref="G100:G101"/>
    <mergeCell ref="I96:I97"/>
    <mergeCell ref="L96:L97"/>
    <mergeCell ref="A98:A99"/>
    <mergeCell ref="C98:C99"/>
    <mergeCell ref="D98:D99"/>
    <mergeCell ref="E98:E99"/>
    <mergeCell ref="F98:F99"/>
    <mergeCell ref="G98:G99"/>
    <mergeCell ref="I98:I99"/>
    <mergeCell ref="L98:L99"/>
    <mergeCell ref="A96:A97"/>
    <mergeCell ref="C96:C97"/>
    <mergeCell ref="D96:D97"/>
    <mergeCell ref="E96:E97"/>
    <mergeCell ref="F96:F97"/>
    <mergeCell ref="G96:G97"/>
    <mergeCell ref="A93:M93"/>
    <mergeCell ref="A94:A95"/>
    <mergeCell ref="C94:C95"/>
    <mergeCell ref="D94:D95"/>
    <mergeCell ref="E94:E95"/>
    <mergeCell ref="F94:F95"/>
    <mergeCell ref="G94:G95"/>
    <mergeCell ref="I94:I95"/>
    <mergeCell ref="L94:L95"/>
    <mergeCell ref="I89:I90"/>
    <mergeCell ref="L89:L90"/>
    <mergeCell ref="A91:A92"/>
    <mergeCell ref="C91:C92"/>
    <mergeCell ref="D91:D92"/>
    <mergeCell ref="E91:E92"/>
    <mergeCell ref="F91:F92"/>
    <mergeCell ref="G91:G92"/>
    <mergeCell ref="I91:I92"/>
    <mergeCell ref="L91:L92"/>
    <mergeCell ref="A89:A90"/>
    <mergeCell ref="C89:C90"/>
    <mergeCell ref="D89:D90"/>
    <mergeCell ref="E89:E90"/>
    <mergeCell ref="F89:F90"/>
    <mergeCell ref="G89:G90"/>
    <mergeCell ref="A87:A88"/>
    <mergeCell ref="C87:C88"/>
    <mergeCell ref="D87:D88"/>
    <mergeCell ref="E87:E88"/>
    <mergeCell ref="F87:F88"/>
    <mergeCell ref="G87:G88"/>
    <mergeCell ref="I87:I88"/>
    <mergeCell ref="L87:L88"/>
    <mergeCell ref="A85:A86"/>
    <mergeCell ref="C85:C86"/>
    <mergeCell ref="D85:D86"/>
    <mergeCell ref="E85:E86"/>
    <mergeCell ref="F85:F86"/>
    <mergeCell ref="G85:G86"/>
    <mergeCell ref="A83:A84"/>
    <mergeCell ref="C83:C84"/>
    <mergeCell ref="D83:D84"/>
    <mergeCell ref="E83:E84"/>
    <mergeCell ref="F83:F84"/>
    <mergeCell ref="G83:G84"/>
    <mergeCell ref="I83:I84"/>
    <mergeCell ref="L83:L84"/>
    <mergeCell ref="I85:I86"/>
    <mergeCell ref="L85:L86"/>
    <mergeCell ref="A78:M78"/>
    <mergeCell ref="A79:Q79"/>
    <mergeCell ref="A80:M80"/>
    <mergeCell ref="A81:A82"/>
    <mergeCell ref="C81:C82"/>
    <mergeCell ref="D81:D82"/>
    <mergeCell ref="E81:E82"/>
    <mergeCell ref="F81:F82"/>
    <mergeCell ref="G81:G82"/>
    <mergeCell ref="I81:I82"/>
    <mergeCell ref="L81:L82"/>
    <mergeCell ref="A74:A75"/>
    <mergeCell ref="C74:C75"/>
    <mergeCell ref="D74:D75"/>
    <mergeCell ref="E74:E75"/>
    <mergeCell ref="F74:F75"/>
    <mergeCell ref="G74:G75"/>
    <mergeCell ref="I74:I75"/>
    <mergeCell ref="L74:L75"/>
    <mergeCell ref="A76:A77"/>
    <mergeCell ref="C76:C77"/>
    <mergeCell ref="D76:D77"/>
    <mergeCell ref="E76:E77"/>
    <mergeCell ref="F76:F77"/>
    <mergeCell ref="G76:G77"/>
    <mergeCell ref="I76:I77"/>
    <mergeCell ref="L76:L77"/>
    <mergeCell ref="I66:I68"/>
    <mergeCell ref="L66:L68"/>
    <mergeCell ref="A69:M69"/>
    <mergeCell ref="A70:Q70"/>
    <mergeCell ref="A71:M71"/>
    <mergeCell ref="A72:A73"/>
    <mergeCell ref="C72:C73"/>
    <mergeCell ref="D72:D73"/>
    <mergeCell ref="E72:E73"/>
    <mergeCell ref="F72:F73"/>
    <mergeCell ref="A66:A68"/>
    <mergeCell ref="C66:C68"/>
    <mergeCell ref="D66:D68"/>
    <mergeCell ref="E66:E68"/>
    <mergeCell ref="F66:F68"/>
    <mergeCell ref="G66:G68"/>
    <mergeCell ref="G72:G73"/>
    <mergeCell ref="I72:I73"/>
    <mergeCell ref="L72:L73"/>
    <mergeCell ref="I60:I62"/>
    <mergeCell ref="L60:L62"/>
    <mergeCell ref="A63:A65"/>
    <mergeCell ref="C63:C65"/>
    <mergeCell ref="D63:D65"/>
    <mergeCell ref="E63:E65"/>
    <mergeCell ref="F63:F65"/>
    <mergeCell ref="G63:G65"/>
    <mergeCell ref="I63:I65"/>
    <mergeCell ref="L63:L65"/>
    <mergeCell ref="A60:A62"/>
    <mergeCell ref="C60:C62"/>
    <mergeCell ref="D60:D62"/>
    <mergeCell ref="E60:E62"/>
    <mergeCell ref="F60:F62"/>
    <mergeCell ref="G60:G62"/>
    <mergeCell ref="A57:A59"/>
    <mergeCell ref="C57:C59"/>
    <mergeCell ref="D57:D59"/>
    <mergeCell ref="E57:E59"/>
    <mergeCell ref="F57:F59"/>
    <mergeCell ref="G57:G59"/>
    <mergeCell ref="I57:I59"/>
    <mergeCell ref="L57:L59"/>
    <mergeCell ref="A54:A56"/>
    <mergeCell ref="C54:C56"/>
    <mergeCell ref="D54:D56"/>
    <mergeCell ref="E54:E56"/>
    <mergeCell ref="F54:F56"/>
    <mergeCell ref="G54:G56"/>
    <mergeCell ref="A51:A53"/>
    <mergeCell ref="C51:C53"/>
    <mergeCell ref="D51:D53"/>
    <mergeCell ref="E51:E53"/>
    <mergeCell ref="F51:F53"/>
    <mergeCell ref="G51:G53"/>
    <mergeCell ref="I51:I53"/>
    <mergeCell ref="L51:L53"/>
    <mergeCell ref="I54:I56"/>
    <mergeCell ref="L54:L56"/>
    <mergeCell ref="I43:I45"/>
    <mergeCell ref="L43:L45"/>
    <mergeCell ref="A46:M46"/>
    <mergeCell ref="A47:Q47"/>
    <mergeCell ref="A48:A50"/>
    <mergeCell ref="C48:C50"/>
    <mergeCell ref="D48:D50"/>
    <mergeCell ref="E48:E50"/>
    <mergeCell ref="F48:F50"/>
    <mergeCell ref="G48:G50"/>
    <mergeCell ref="A43:A45"/>
    <mergeCell ref="C43:C45"/>
    <mergeCell ref="D43:D45"/>
    <mergeCell ref="E43:E45"/>
    <mergeCell ref="F43:F45"/>
    <mergeCell ref="G43:G45"/>
    <mergeCell ref="I48:I50"/>
    <mergeCell ref="L48:L50"/>
    <mergeCell ref="I37:I39"/>
    <mergeCell ref="L37:L39"/>
    <mergeCell ref="A40:A42"/>
    <mergeCell ref="C40:C42"/>
    <mergeCell ref="D40:D42"/>
    <mergeCell ref="E40:E42"/>
    <mergeCell ref="F40:F42"/>
    <mergeCell ref="G40:G42"/>
    <mergeCell ref="I40:I42"/>
    <mergeCell ref="L40:L42"/>
    <mergeCell ref="A37:A39"/>
    <mergeCell ref="C37:C39"/>
    <mergeCell ref="D37:D39"/>
    <mergeCell ref="E37:E39"/>
    <mergeCell ref="F37:F39"/>
    <mergeCell ref="G37:G39"/>
    <mergeCell ref="A33:Q33"/>
    <mergeCell ref="A34:A36"/>
    <mergeCell ref="C34:C36"/>
    <mergeCell ref="D34:D36"/>
    <mergeCell ref="E34:E36"/>
    <mergeCell ref="F34:F36"/>
    <mergeCell ref="G34:G36"/>
    <mergeCell ref="I34:I36"/>
    <mergeCell ref="L34:L36"/>
    <mergeCell ref="A30:A31"/>
    <mergeCell ref="C30:C31"/>
    <mergeCell ref="D30:D31"/>
    <mergeCell ref="E30:E31"/>
    <mergeCell ref="F30:F31"/>
    <mergeCell ref="G30:G31"/>
    <mergeCell ref="I30:I31"/>
    <mergeCell ref="L30:L31"/>
    <mergeCell ref="A32:M32"/>
    <mergeCell ref="A25:Q25"/>
    <mergeCell ref="A26:M26"/>
    <mergeCell ref="A27:Q27"/>
    <mergeCell ref="A28:A29"/>
    <mergeCell ref="C28:C29"/>
    <mergeCell ref="D28:D29"/>
    <mergeCell ref="E28:E29"/>
    <mergeCell ref="F28:F29"/>
    <mergeCell ref="G28:G29"/>
    <mergeCell ref="I28:I29"/>
    <mergeCell ref="L28:L29"/>
    <mergeCell ref="A21:A22"/>
    <mergeCell ref="C21:C22"/>
    <mergeCell ref="D21:D22"/>
    <mergeCell ref="E21:E22"/>
    <mergeCell ref="F21:F22"/>
    <mergeCell ref="G21:G22"/>
    <mergeCell ref="I21:I22"/>
    <mergeCell ref="L21:L22"/>
    <mergeCell ref="A23:A24"/>
    <mergeCell ref="C23:C24"/>
    <mergeCell ref="D23:D24"/>
    <mergeCell ref="E23:E24"/>
    <mergeCell ref="F23:F24"/>
    <mergeCell ref="G23:G24"/>
    <mergeCell ref="I23:I24"/>
    <mergeCell ref="L23:L24"/>
    <mergeCell ref="A16:Q16"/>
    <mergeCell ref="A17:M17"/>
    <mergeCell ref="A18:Q18"/>
    <mergeCell ref="A19:A20"/>
    <mergeCell ref="C19:C20"/>
    <mergeCell ref="D19:D20"/>
    <mergeCell ref="E19:E20"/>
    <mergeCell ref="F19:F20"/>
    <mergeCell ref="A14:A15"/>
    <mergeCell ref="C14:C15"/>
    <mergeCell ref="D14:D15"/>
    <mergeCell ref="E14:E15"/>
    <mergeCell ref="F14:F15"/>
    <mergeCell ref="G14:G15"/>
    <mergeCell ref="G19:G20"/>
    <mergeCell ref="I19:I20"/>
    <mergeCell ref="L19:L20"/>
    <mergeCell ref="A12:A13"/>
    <mergeCell ref="C12:C13"/>
    <mergeCell ref="D12:D13"/>
    <mergeCell ref="E12:E13"/>
    <mergeCell ref="F12:F13"/>
    <mergeCell ref="G12:G13"/>
    <mergeCell ref="I12:I13"/>
    <mergeCell ref="L12:L13"/>
    <mergeCell ref="I14:I15"/>
    <mergeCell ref="L14:L15"/>
    <mergeCell ref="A7:Q7"/>
    <mergeCell ref="A8:M8"/>
    <mergeCell ref="A9:Q9"/>
    <mergeCell ref="A10:A11"/>
    <mergeCell ref="C10:C11"/>
    <mergeCell ref="D10:D11"/>
    <mergeCell ref="E10:E11"/>
    <mergeCell ref="F10:F11"/>
    <mergeCell ref="G10:G11"/>
    <mergeCell ref="I10:I11"/>
    <mergeCell ref="L10:L11"/>
    <mergeCell ref="L5:L6"/>
    <mergeCell ref="M5:M6"/>
    <mergeCell ref="N5:N6"/>
    <mergeCell ref="O5:O6"/>
    <mergeCell ref="P5:P6"/>
    <mergeCell ref="Q5:Q6"/>
    <mergeCell ref="L3:M3"/>
    <mergeCell ref="O3:P3"/>
    <mergeCell ref="A5:A6"/>
    <mergeCell ref="C5:D5"/>
    <mergeCell ref="E5:F5"/>
    <mergeCell ref="G5:G6"/>
    <mergeCell ref="H5:H6"/>
    <mergeCell ref="I5:I6"/>
    <mergeCell ref="J5:J6"/>
    <mergeCell ref="K5:K6"/>
  </mergeCells>
  <conditionalFormatting sqref="A48:A68 A34:A46 A32">
    <cfRule type="duplicateValues" dxfId="46" priority="3" stopIfTrue="1"/>
    <cfRule type="duplicateValues" dxfId="45" priority="4" stopIfTrue="1"/>
  </conditionalFormatting>
  <conditionalFormatting sqref="A106:A109 A104 A112:A123">
    <cfRule type="duplicateValues" dxfId="44" priority="2" stopIfTrue="1"/>
  </conditionalFormatting>
  <conditionalFormatting sqref="A110">
    <cfRule type="duplicateValues" dxfId="43" priority="1" stopIfTrue="1"/>
  </conditionalFormatting>
  <hyperlinks>
    <hyperlink ref="A126" r:id="rId1"/>
  </hyperlinks>
  <pageMargins left="0.7" right="0.7" top="0.75" bottom="0.75" header="0.3" footer="0.3"/>
  <pageSetup paperSize="9" scale="32" orientation="portrait" r:id="rId2"/>
  <colBreaks count="1" manualBreakCount="1">
    <brk id="17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352"/>
  <sheetViews>
    <sheetView zoomScale="85" zoomScaleNormal="85" zoomScaleSheetLayoutView="70" workbookViewId="0">
      <pane xSplit="17" ySplit="6" topLeftCell="R7" activePane="bottomRight" state="frozen"/>
      <selection pane="topRight" activeCell="R1" sqref="R1"/>
      <selection pane="bottomLeft" activeCell="A7" sqref="A7"/>
      <selection pane="bottomRight" activeCell="B136" sqref="B136"/>
    </sheetView>
  </sheetViews>
  <sheetFormatPr defaultRowHeight="13"/>
  <cols>
    <col min="1" max="1" width="27" style="5" customWidth="1"/>
    <col min="2" max="2" width="25.90625" style="5" customWidth="1"/>
    <col min="3" max="3" width="10.453125" style="5" customWidth="1"/>
    <col min="4" max="4" width="10.6328125" style="5" customWidth="1"/>
    <col min="5" max="5" width="11.90625" style="5" customWidth="1"/>
    <col min="6" max="6" width="12.54296875" style="5" customWidth="1"/>
    <col min="7" max="7" width="13.6328125" style="5" customWidth="1"/>
    <col min="8" max="9" width="12.453125" style="5" customWidth="1"/>
    <col min="10" max="10" width="9" style="5" customWidth="1"/>
    <col min="11" max="11" width="10" style="5" customWidth="1"/>
    <col min="12" max="12" width="12.08984375" style="5" customWidth="1"/>
    <col min="13" max="13" width="13.6328125" style="5" customWidth="1"/>
    <col min="14" max="14" width="13" style="5" customWidth="1"/>
    <col min="15" max="15" width="13" style="10" customWidth="1"/>
    <col min="16" max="16" width="10.453125" style="5" customWidth="1"/>
    <col min="17" max="17" width="13.453125" style="5" customWidth="1"/>
    <col min="18" max="19" width="9.08984375" style="32" customWidth="1"/>
    <col min="20" max="20" width="2.36328125" style="32" customWidth="1"/>
    <col min="21" max="21" width="1.90625" style="32" customWidth="1"/>
    <col min="22" max="51" width="9.08984375" style="32" customWidth="1"/>
  </cols>
  <sheetData>
    <row r="1" spans="1:51" s="7" customFormat="1" ht="53.25" customHeight="1">
      <c r="A1" s="385"/>
      <c r="B1" s="808"/>
      <c r="C1" s="387"/>
      <c r="D1" s="386"/>
      <c r="E1" s="388"/>
      <c r="F1" s="386"/>
      <c r="G1" s="389"/>
      <c r="H1" s="386"/>
      <c r="I1" s="386"/>
      <c r="J1" s="386"/>
      <c r="K1" s="390"/>
      <c r="L1" s="390"/>
      <c r="M1" s="390"/>
      <c r="N1" s="390"/>
      <c r="O1" s="406"/>
      <c r="P1" s="429" t="s">
        <v>514</v>
      </c>
      <c r="Q1" s="40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</row>
    <row r="2" spans="1:51" s="7" customFormat="1" ht="15.75" customHeight="1" thickBot="1">
      <c r="A2" s="393"/>
      <c r="B2" s="809"/>
      <c r="C2" s="204"/>
      <c r="D2" s="203"/>
      <c r="E2" s="209"/>
      <c r="F2" s="203"/>
      <c r="G2" s="210"/>
      <c r="H2" s="203"/>
      <c r="I2" s="203"/>
      <c r="J2" s="203"/>
      <c r="K2" s="206"/>
      <c r="L2" s="206"/>
      <c r="M2" s="206"/>
      <c r="N2" s="207"/>
      <c r="O2" s="216"/>
      <c r="P2" s="349"/>
      <c r="Q2" s="411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</row>
    <row r="3" spans="1:51" s="7" customFormat="1" ht="18.75" customHeight="1" thickBot="1">
      <c r="A3" s="395"/>
      <c r="B3" s="325" t="s">
        <v>1151</v>
      </c>
      <c r="C3" s="131">
        <v>0.27</v>
      </c>
      <c r="D3" s="70"/>
      <c r="E3" s="132"/>
      <c r="F3" s="70"/>
      <c r="G3" s="325" t="s">
        <v>1413</v>
      </c>
      <c r="H3" s="131">
        <v>0.35</v>
      </c>
      <c r="I3" s="325" t="s">
        <v>480</v>
      </c>
      <c r="J3" s="347"/>
      <c r="K3" s="322">
        <f>SUM(N9:N135)</f>
        <v>0</v>
      </c>
      <c r="L3" s="570" t="s">
        <v>900</v>
      </c>
      <c r="M3" s="570"/>
      <c r="N3" s="134">
        <f>SUMPRODUCT(J9:J135,P9:P135)</f>
        <v>0</v>
      </c>
      <c r="O3" s="570" t="s">
        <v>478</v>
      </c>
      <c r="P3" s="570"/>
      <c r="Q3" s="396">
        <f>SUMPRODUCT(J9:J135,Q9:Q135)</f>
        <v>0</v>
      </c>
      <c r="R3" s="70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</row>
    <row r="4" spans="1:51" s="23" customFormat="1" ht="13.75" customHeight="1">
      <c r="A4" s="430"/>
      <c r="B4" s="352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431"/>
      <c r="R4" s="40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</row>
    <row r="5" spans="1:51" ht="25.25" customHeight="1">
      <c r="A5" s="747" t="s">
        <v>47</v>
      </c>
      <c r="B5" s="804" t="s">
        <v>161</v>
      </c>
      <c r="C5" s="749" t="s">
        <v>48</v>
      </c>
      <c r="D5" s="749"/>
      <c r="E5" s="749" t="s">
        <v>85</v>
      </c>
      <c r="F5" s="749"/>
      <c r="G5" s="744" t="s">
        <v>492</v>
      </c>
      <c r="H5" s="741" t="s">
        <v>493</v>
      </c>
      <c r="I5" s="761" t="s">
        <v>740</v>
      </c>
      <c r="J5" s="769" t="s">
        <v>28</v>
      </c>
      <c r="K5" s="763" t="s">
        <v>22</v>
      </c>
      <c r="L5" s="765" t="s">
        <v>490</v>
      </c>
      <c r="M5" s="767" t="s">
        <v>491</v>
      </c>
      <c r="N5" s="765" t="s">
        <v>27</v>
      </c>
      <c r="O5" s="802" t="s">
        <v>318</v>
      </c>
      <c r="P5" s="802" t="s">
        <v>23</v>
      </c>
      <c r="Q5" s="803" t="s">
        <v>24</v>
      </c>
    </row>
    <row r="6" spans="1:51" ht="33" customHeight="1">
      <c r="A6" s="634"/>
      <c r="B6" s="805"/>
      <c r="C6" s="344" t="s">
        <v>49</v>
      </c>
      <c r="D6" s="344" t="s">
        <v>50</v>
      </c>
      <c r="E6" s="344" t="s">
        <v>86</v>
      </c>
      <c r="F6" s="344" t="s">
        <v>87</v>
      </c>
      <c r="G6" s="571"/>
      <c r="H6" s="578"/>
      <c r="I6" s="636"/>
      <c r="J6" s="580"/>
      <c r="K6" s="561"/>
      <c r="L6" s="559"/>
      <c r="M6" s="573"/>
      <c r="N6" s="559"/>
      <c r="O6" s="713"/>
      <c r="P6" s="713"/>
      <c r="Q6" s="715"/>
    </row>
    <row r="7" spans="1:51" ht="28.5" customHeight="1">
      <c r="A7" s="652" t="s">
        <v>162</v>
      </c>
      <c r="B7" s="653"/>
      <c r="C7" s="653"/>
      <c r="D7" s="653"/>
      <c r="E7" s="653"/>
      <c r="F7" s="653"/>
      <c r="G7" s="653"/>
      <c r="H7" s="653"/>
      <c r="I7" s="653"/>
      <c r="J7" s="653"/>
      <c r="K7" s="653"/>
      <c r="L7" s="653"/>
      <c r="M7" s="653"/>
      <c r="N7" s="149"/>
      <c r="O7" s="150"/>
      <c r="P7" s="150"/>
      <c r="Q7" s="399"/>
    </row>
    <row r="8" spans="1:51" ht="30" customHeight="1">
      <c r="A8" s="537" t="s">
        <v>166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9"/>
    </row>
    <row r="9" spans="1:51" ht="30" customHeight="1">
      <c r="A9" s="380" t="s">
        <v>41</v>
      </c>
      <c r="B9" s="235"/>
      <c r="C9" s="353" t="s">
        <v>1052</v>
      </c>
      <c r="D9" s="220" t="s">
        <v>1053</v>
      </c>
      <c r="E9" s="220" t="s">
        <v>146</v>
      </c>
      <c r="F9" s="220" t="s">
        <v>103</v>
      </c>
      <c r="G9" s="231"/>
      <c r="H9" s="144">
        <v>1360</v>
      </c>
      <c r="I9" s="222">
        <v>92000</v>
      </c>
      <c r="J9" s="160"/>
      <c r="K9" s="145">
        <f t="shared" ref="K9:K16" si="0">$H$3</f>
        <v>0.35</v>
      </c>
      <c r="L9" s="331">
        <f t="shared" ref="L9:L16" si="1">SUM(H9-(H9*K9))</f>
        <v>884</v>
      </c>
      <c r="M9" s="8"/>
      <c r="N9" s="331">
        <f t="shared" ref="N9:N16" si="2">J9*L9</f>
        <v>0</v>
      </c>
      <c r="O9" s="339" t="s">
        <v>322</v>
      </c>
      <c r="P9" s="174">
        <v>0.249</v>
      </c>
      <c r="Q9" s="370">
        <v>41</v>
      </c>
      <c r="S9" s="92"/>
      <c r="T9" s="92"/>
      <c r="U9" s="92"/>
      <c r="V9" s="92"/>
    </row>
    <row r="10" spans="1:51" ht="30" customHeight="1">
      <c r="A10" s="380" t="s">
        <v>42</v>
      </c>
      <c r="B10" s="235"/>
      <c r="C10" s="353" t="s">
        <v>1054</v>
      </c>
      <c r="D10" s="220" t="s">
        <v>1055</v>
      </c>
      <c r="E10" s="220" t="s">
        <v>89</v>
      </c>
      <c r="F10" s="220" t="s">
        <v>102</v>
      </c>
      <c r="G10" s="231"/>
      <c r="H10" s="144">
        <v>1756</v>
      </c>
      <c r="I10" s="222">
        <v>118800</v>
      </c>
      <c r="J10" s="160"/>
      <c r="K10" s="145">
        <f t="shared" si="0"/>
        <v>0.35</v>
      </c>
      <c r="L10" s="331">
        <f t="shared" si="1"/>
        <v>1141.4000000000001</v>
      </c>
      <c r="M10" s="8"/>
      <c r="N10" s="331">
        <f t="shared" si="2"/>
        <v>0</v>
      </c>
      <c r="O10" s="339" t="s">
        <v>322</v>
      </c>
      <c r="P10" s="174">
        <v>0.249</v>
      </c>
      <c r="Q10" s="370">
        <v>42</v>
      </c>
      <c r="S10" s="92"/>
      <c r="T10" s="92"/>
      <c r="U10" s="92"/>
      <c r="V10" s="92"/>
    </row>
    <row r="11" spans="1:51" ht="30" customHeight="1">
      <c r="A11" s="380" t="s">
        <v>43</v>
      </c>
      <c r="B11" s="235"/>
      <c r="C11" s="353" t="s">
        <v>1056</v>
      </c>
      <c r="D11" s="220" t="s">
        <v>1057</v>
      </c>
      <c r="E11" s="220" t="s">
        <v>147</v>
      </c>
      <c r="F11" s="220" t="s">
        <v>148</v>
      </c>
      <c r="G11" s="231"/>
      <c r="H11" s="144">
        <v>1930</v>
      </c>
      <c r="I11" s="222">
        <v>130500</v>
      </c>
      <c r="J11" s="160"/>
      <c r="K11" s="145">
        <f t="shared" si="0"/>
        <v>0.35</v>
      </c>
      <c r="L11" s="331">
        <f t="shared" si="1"/>
        <v>1254.5</v>
      </c>
      <c r="M11" s="8"/>
      <c r="N11" s="331">
        <f t="shared" si="2"/>
        <v>0</v>
      </c>
      <c r="O11" s="339" t="s">
        <v>350</v>
      </c>
      <c r="P11" s="174">
        <v>0.39200000000000002</v>
      </c>
      <c r="Q11" s="370">
        <v>63</v>
      </c>
      <c r="S11" s="92"/>
      <c r="T11" s="92"/>
      <c r="U11" s="92"/>
      <c r="V11" s="92"/>
    </row>
    <row r="12" spans="1:51" ht="30" customHeight="1">
      <c r="A12" s="380" t="s">
        <v>44</v>
      </c>
      <c r="B12" s="235"/>
      <c r="C12" s="353" t="s">
        <v>1058</v>
      </c>
      <c r="D12" s="220" t="s">
        <v>1059</v>
      </c>
      <c r="E12" s="220" t="s">
        <v>149</v>
      </c>
      <c r="F12" s="220" t="s">
        <v>147</v>
      </c>
      <c r="G12" s="231"/>
      <c r="H12" s="144">
        <v>2251</v>
      </c>
      <c r="I12" s="222">
        <v>152200</v>
      </c>
      <c r="J12" s="160"/>
      <c r="K12" s="145">
        <f t="shared" si="0"/>
        <v>0.35</v>
      </c>
      <c r="L12" s="331">
        <f t="shared" si="1"/>
        <v>1463.15</v>
      </c>
      <c r="M12" s="8"/>
      <c r="N12" s="331">
        <f t="shared" si="2"/>
        <v>0</v>
      </c>
      <c r="O12" s="339" t="s">
        <v>350</v>
      </c>
      <c r="P12" s="174">
        <v>0.39200000000000002</v>
      </c>
      <c r="Q12" s="370">
        <v>63</v>
      </c>
      <c r="S12" s="92"/>
      <c r="T12" s="92"/>
      <c r="U12" s="92"/>
      <c r="V12" s="92"/>
    </row>
    <row r="13" spans="1:51" ht="30" customHeight="1">
      <c r="A13" s="380" t="s">
        <v>45</v>
      </c>
      <c r="B13" s="235"/>
      <c r="C13" s="353" t="s">
        <v>1060</v>
      </c>
      <c r="D13" s="220" t="s">
        <v>1061</v>
      </c>
      <c r="E13" s="220" t="s">
        <v>150</v>
      </c>
      <c r="F13" s="220" t="s">
        <v>147</v>
      </c>
      <c r="G13" s="231"/>
      <c r="H13" s="144">
        <v>3081</v>
      </c>
      <c r="I13" s="222">
        <v>208300</v>
      </c>
      <c r="J13" s="160"/>
      <c r="K13" s="145">
        <f t="shared" si="0"/>
        <v>0.35</v>
      </c>
      <c r="L13" s="331">
        <f t="shared" si="1"/>
        <v>2002.65</v>
      </c>
      <c r="M13" s="8"/>
      <c r="N13" s="331">
        <f t="shared" si="2"/>
        <v>0</v>
      </c>
      <c r="O13" s="339" t="s">
        <v>320</v>
      </c>
      <c r="P13" s="174">
        <v>0.45300000000000001</v>
      </c>
      <c r="Q13" s="370">
        <v>75</v>
      </c>
      <c r="S13" s="92"/>
      <c r="T13" s="92"/>
      <c r="U13" s="92"/>
      <c r="V13" s="92"/>
    </row>
    <row r="14" spans="1:51" ht="30" customHeight="1">
      <c r="A14" s="422" t="s">
        <v>672</v>
      </c>
      <c r="B14" s="235"/>
      <c r="C14" s="353" t="s">
        <v>730</v>
      </c>
      <c r="D14" s="220" t="s">
        <v>731</v>
      </c>
      <c r="E14" s="220" t="s">
        <v>732</v>
      </c>
      <c r="F14" s="220" t="s">
        <v>733</v>
      </c>
      <c r="G14" s="231"/>
      <c r="H14" s="144">
        <v>3377</v>
      </c>
      <c r="I14" s="222">
        <v>228300</v>
      </c>
      <c r="J14" s="160"/>
      <c r="K14" s="145">
        <f t="shared" si="0"/>
        <v>0.35</v>
      </c>
      <c r="L14" s="331">
        <f t="shared" si="1"/>
        <v>2195.0500000000002</v>
      </c>
      <c r="M14" s="8"/>
      <c r="N14" s="331">
        <f t="shared" si="2"/>
        <v>0</v>
      </c>
      <c r="O14" s="339" t="s">
        <v>320</v>
      </c>
      <c r="P14" s="174">
        <v>0.45300000000000001</v>
      </c>
      <c r="Q14" s="370">
        <v>75</v>
      </c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</row>
    <row r="15" spans="1:51" ht="30" customHeight="1">
      <c r="A15" s="422" t="s">
        <v>673</v>
      </c>
      <c r="B15" s="235"/>
      <c r="C15" s="353" t="s">
        <v>734</v>
      </c>
      <c r="D15" s="220" t="s">
        <v>735</v>
      </c>
      <c r="E15" s="220" t="s">
        <v>736</v>
      </c>
      <c r="F15" s="220" t="s">
        <v>737</v>
      </c>
      <c r="G15" s="231"/>
      <c r="H15" s="144">
        <v>3737</v>
      </c>
      <c r="I15" s="222">
        <v>252700</v>
      </c>
      <c r="J15" s="160"/>
      <c r="K15" s="145">
        <f t="shared" si="0"/>
        <v>0.35</v>
      </c>
      <c r="L15" s="331">
        <f t="shared" si="1"/>
        <v>2429.0500000000002</v>
      </c>
      <c r="M15" s="8"/>
      <c r="N15" s="331">
        <f t="shared" si="2"/>
        <v>0</v>
      </c>
      <c r="O15" s="141" t="s">
        <v>351</v>
      </c>
      <c r="P15" s="336">
        <v>0.53400000000000003</v>
      </c>
      <c r="Q15" s="367">
        <v>106</v>
      </c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</row>
    <row r="16" spans="1:51" ht="30" customHeight="1">
      <c r="A16" s="380" t="s">
        <v>272</v>
      </c>
      <c r="B16" s="235"/>
      <c r="C16" s="219">
        <v>14</v>
      </c>
      <c r="D16" s="236">
        <v>16</v>
      </c>
      <c r="E16" s="220" t="s">
        <v>738</v>
      </c>
      <c r="F16" s="220" t="s">
        <v>739</v>
      </c>
      <c r="G16" s="231"/>
      <c r="H16" s="144">
        <v>3841</v>
      </c>
      <c r="I16" s="222">
        <v>259700</v>
      </c>
      <c r="J16" s="160"/>
      <c r="K16" s="145">
        <f t="shared" si="0"/>
        <v>0.35</v>
      </c>
      <c r="L16" s="331">
        <f t="shared" si="1"/>
        <v>2496.65</v>
      </c>
      <c r="M16" s="8"/>
      <c r="N16" s="331">
        <f t="shared" si="2"/>
        <v>0</v>
      </c>
      <c r="O16" s="141" t="s">
        <v>351</v>
      </c>
      <c r="P16" s="336">
        <v>0.53400000000000003</v>
      </c>
      <c r="Q16" s="367">
        <v>106</v>
      </c>
      <c r="S16" s="92"/>
      <c r="T16" s="92"/>
      <c r="U16" s="92"/>
      <c r="V16" s="92"/>
    </row>
    <row r="17" spans="1:58" ht="42" customHeight="1">
      <c r="A17" s="652" t="s">
        <v>813</v>
      </c>
      <c r="B17" s="653"/>
      <c r="C17" s="653"/>
      <c r="D17" s="653"/>
      <c r="E17" s="653"/>
      <c r="F17" s="653"/>
      <c r="G17" s="653"/>
      <c r="H17" s="653"/>
      <c r="I17" s="653"/>
      <c r="J17" s="653"/>
      <c r="K17" s="653"/>
      <c r="L17" s="653"/>
      <c r="M17" s="653"/>
      <c r="N17" s="653"/>
      <c r="O17" s="653"/>
      <c r="P17" s="653"/>
      <c r="Q17" s="796"/>
      <c r="S17" s="92"/>
      <c r="T17" s="92"/>
      <c r="U17" s="92"/>
    </row>
    <row r="18" spans="1:58" ht="30" customHeight="1">
      <c r="A18" s="537" t="s">
        <v>167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9"/>
      <c r="S18" s="92"/>
      <c r="T18" s="92"/>
      <c r="U18" s="92"/>
    </row>
    <row r="19" spans="1:58" ht="15" customHeight="1">
      <c r="A19" s="380" t="s">
        <v>249</v>
      </c>
      <c r="B19" s="235"/>
      <c r="C19" s="353">
        <v>2.0499999999999998</v>
      </c>
      <c r="D19" s="220">
        <v>2.37</v>
      </c>
      <c r="E19" s="220"/>
      <c r="F19" s="220"/>
      <c r="G19" s="231"/>
      <c r="H19" s="437">
        <v>237</v>
      </c>
      <c r="I19" s="222">
        <v>17400</v>
      </c>
      <c r="J19" s="160"/>
      <c r="K19" s="145">
        <f>$C$3</f>
        <v>0.27</v>
      </c>
      <c r="L19" s="331">
        <f t="shared" ref="L19:L24" si="3">SUM(H19-(H19*K19))</f>
        <v>173.01</v>
      </c>
      <c r="M19" s="8"/>
      <c r="N19" s="331">
        <f t="shared" ref="N19:N24" si="4">J19*L19</f>
        <v>0</v>
      </c>
      <c r="O19" s="339" t="s">
        <v>321</v>
      </c>
      <c r="P19" s="336">
        <v>8.1000000000000003E-2</v>
      </c>
      <c r="Q19" s="367">
        <v>10.5</v>
      </c>
      <c r="S19" s="92"/>
      <c r="T19" s="92"/>
      <c r="U19" s="92"/>
      <c r="V19" s="92"/>
    </row>
    <row r="20" spans="1:58" ht="15" customHeight="1">
      <c r="A20" s="380" t="s">
        <v>250</v>
      </c>
      <c r="B20" s="235"/>
      <c r="C20" s="353">
        <v>2.64</v>
      </c>
      <c r="D20" s="220">
        <v>2.99</v>
      </c>
      <c r="E20" s="220"/>
      <c r="F20" s="220"/>
      <c r="G20" s="231"/>
      <c r="H20" s="437">
        <v>256</v>
      </c>
      <c r="I20" s="222">
        <v>18700</v>
      </c>
      <c r="J20" s="160"/>
      <c r="K20" s="145">
        <f t="shared" ref="K20:K24" si="5">$C$3</f>
        <v>0.27</v>
      </c>
      <c r="L20" s="331">
        <f t="shared" si="3"/>
        <v>186.88</v>
      </c>
      <c r="M20" s="8"/>
      <c r="N20" s="331">
        <f t="shared" si="4"/>
        <v>0</v>
      </c>
      <c r="O20" s="339" t="s">
        <v>321</v>
      </c>
      <c r="P20" s="336">
        <v>8.1000000000000003E-2</v>
      </c>
      <c r="Q20" s="367">
        <v>10.5</v>
      </c>
      <c r="S20" s="92"/>
      <c r="T20" s="92"/>
      <c r="U20" s="92"/>
      <c r="V20" s="92"/>
    </row>
    <row r="21" spans="1:58" ht="15" customHeight="1">
      <c r="A21" s="380" t="s">
        <v>251</v>
      </c>
      <c r="B21" s="235"/>
      <c r="C21" s="353">
        <v>3.52</v>
      </c>
      <c r="D21" s="220">
        <v>3.96</v>
      </c>
      <c r="E21" s="220"/>
      <c r="F21" s="220"/>
      <c r="G21" s="231"/>
      <c r="H21" s="437">
        <v>310</v>
      </c>
      <c r="I21" s="222">
        <v>22700</v>
      </c>
      <c r="J21" s="160"/>
      <c r="K21" s="145">
        <f t="shared" si="5"/>
        <v>0.27</v>
      </c>
      <c r="L21" s="331">
        <f t="shared" si="3"/>
        <v>226.3</v>
      </c>
      <c r="M21" s="8"/>
      <c r="N21" s="331">
        <f t="shared" si="4"/>
        <v>0</v>
      </c>
      <c r="O21" s="339" t="s">
        <v>321</v>
      </c>
      <c r="P21" s="336">
        <v>8.1000000000000003E-2</v>
      </c>
      <c r="Q21" s="367">
        <v>10.5</v>
      </c>
      <c r="S21" s="92"/>
      <c r="T21" s="92"/>
      <c r="U21" s="92"/>
      <c r="V21" s="92"/>
    </row>
    <row r="22" spans="1:58" ht="15" customHeight="1">
      <c r="A22" s="380" t="s">
        <v>252</v>
      </c>
      <c r="B22" s="235"/>
      <c r="C22" s="353">
        <v>4.0999999999999996</v>
      </c>
      <c r="D22" s="220">
        <v>4.8</v>
      </c>
      <c r="E22" s="220"/>
      <c r="F22" s="220"/>
      <c r="G22" s="231"/>
      <c r="H22" s="437">
        <v>478</v>
      </c>
      <c r="I22" s="222">
        <v>34900</v>
      </c>
      <c r="J22" s="160"/>
      <c r="K22" s="145">
        <f t="shared" si="5"/>
        <v>0.27</v>
      </c>
      <c r="L22" s="331">
        <f t="shared" si="3"/>
        <v>348.94</v>
      </c>
      <c r="M22" s="8"/>
      <c r="N22" s="331">
        <f t="shared" si="4"/>
        <v>0</v>
      </c>
      <c r="O22" s="339" t="s">
        <v>321</v>
      </c>
      <c r="P22" s="336">
        <v>8.1000000000000003E-2</v>
      </c>
      <c r="Q22" s="367">
        <v>10.5</v>
      </c>
      <c r="S22" s="92"/>
      <c r="T22" s="92"/>
      <c r="U22" s="92"/>
      <c r="V22" s="92"/>
    </row>
    <row r="23" spans="1:58" ht="15" customHeight="1">
      <c r="A23" s="380" t="s">
        <v>1</v>
      </c>
      <c r="B23" s="235"/>
      <c r="C23" s="353">
        <v>5.27</v>
      </c>
      <c r="D23" s="220">
        <v>5.86</v>
      </c>
      <c r="E23" s="220"/>
      <c r="F23" s="220"/>
      <c r="G23" s="231"/>
      <c r="H23" s="437">
        <v>781</v>
      </c>
      <c r="I23" s="222">
        <v>57100</v>
      </c>
      <c r="J23" s="160"/>
      <c r="K23" s="145">
        <f t="shared" si="5"/>
        <v>0.27</v>
      </c>
      <c r="L23" s="331">
        <f t="shared" si="3"/>
        <v>570.13</v>
      </c>
      <c r="M23" s="8"/>
      <c r="N23" s="331">
        <f t="shared" si="4"/>
        <v>0</v>
      </c>
      <c r="O23" s="339" t="s">
        <v>327</v>
      </c>
      <c r="P23" s="336">
        <v>0.151</v>
      </c>
      <c r="Q23" s="367">
        <v>18</v>
      </c>
      <c r="R23" s="92"/>
      <c r="S23" s="92"/>
      <c r="T23" s="92"/>
      <c r="U23" s="92"/>
      <c r="V23" s="92"/>
    </row>
    <row r="24" spans="1:58" ht="15" customHeight="1">
      <c r="A24" s="380" t="s">
        <v>295</v>
      </c>
      <c r="B24" s="235"/>
      <c r="C24" s="353">
        <v>7.03</v>
      </c>
      <c r="D24" s="220">
        <v>7.91</v>
      </c>
      <c r="E24" s="220"/>
      <c r="F24" s="220"/>
      <c r="G24" s="231"/>
      <c r="H24" s="437">
        <v>950</v>
      </c>
      <c r="I24" s="222">
        <v>69400</v>
      </c>
      <c r="J24" s="160"/>
      <c r="K24" s="145">
        <f t="shared" si="5"/>
        <v>0.27</v>
      </c>
      <c r="L24" s="331">
        <f t="shared" si="3"/>
        <v>693.5</v>
      </c>
      <c r="M24" s="8"/>
      <c r="N24" s="331">
        <f t="shared" si="4"/>
        <v>0</v>
      </c>
      <c r="O24" s="339" t="s">
        <v>327</v>
      </c>
      <c r="P24" s="336">
        <v>0.151</v>
      </c>
      <c r="Q24" s="367">
        <v>18</v>
      </c>
      <c r="R24" s="92"/>
      <c r="S24" s="92"/>
      <c r="T24" s="92"/>
      <c r="U24" s="92"/>
      <c r="V24" s="92"/>
    </row>
    <row r="25" spans="1:58" ht="46.5" customHeight="1">
      <c r="A25" s="652" t="s">
        <v>799</v>
      </c>
      <c r="B25" s="653"/>
      <c r="C25" s="653"/>
      <c r="D25" s="653"/>
      <c r="E25" s="653"/>
      <c r="F25" s="653"/>
      <c r="G25" s="653"/>
      <c r="H25" s="653"/>
      <c r="I25" s="653"/>
      <c r="J25" s="653"/>
      <c r="K25" s="653"/>
      <c r="L25" s="653"/>
      <c r="M25" s="653"/>
      <c r="N25" s="653"/>
      <c r="O25" s="653"/>
      <c r="P25" s="653"/>
      <c r="Q25" s="796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</row>
    <row r="26" spans="1:58" ht="38.25" customHeight="1">
      <c r="A26" s="799" t="s">
        <v>800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1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</row>
    <row r="27" spans="1:58" ht="15" customHeight="1">
      <c r="A27" s="380" t="s">
        <v>31</v>
      </c>
      <c r="B27" s="235"/>
      <c r="C27" s="353">
        <v>2.0499999999999998</v>
      </c>
      <c r="D27" s="220">
        <v>2.37</v>
      </c>
      <c r="E27" s="220"/>
      <c r="F27" s="220"/>
      <c r="G27" s="231"/>
      <c r="H27" s="144">
        <v>455</v>
      </c>
      <c r="I27" s="222">
        <v>33300</v>
      </c>
      <c r="J27" s="160"/>
      <c r="K27" s="145">
        <f>$C$3</f>
        <v>0.27</v>
      </c>
      <c r="L27" s="331">
        <f>SUM(H27-(H27*K27))</f>
        <v>332.15</v>
      </c>
      <c r="M27" s="8"/>
      <c r="N27" s="331">
        <f>J27*L27</f>
        <v>0</v>
      </c>
      <c r="O27" s="141" t="s">
        <v>325</v>
      </c>
      <c r="P27" s="336">
        <v>8.5000000000000006E-2</v>
      </c>
      <c r="Q27" s="367">
        <v>12</v>
      </c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</row>
    <row r="28" spans="1:58" ht="15" customHeight="1">
      <c r="A28" s="380" t="s">
        <v>32</v>
      </c>
      <c r="B28" s="235"/>
      <c r="C28" s="353">
        <v>2.64</v>
      </c>
      <c r="D28" s="237">
        <v>3</v>
      </c>
      <c r="E28" s="220"/>
      <c r="F28" s="220"/>
      <c r="G28" s="231"/>
      <c r="H28" s="144">
        <v>480</v>
      </c>
      <c r="I28" s="222">
        <v>35100</v>
      </c>
      <c r="J28" s="160"/>
      <c r="K28" s="145">
        <f t="shared" ref="K28:K30" si="6">$C$3</f>
        <v>0.27</v>
      </c>
      <c r="L28" s="331">
        <f>SUM(H28-(H28*K28))</f>
        <v>350.4</v>
      </c>
      <c r="M28" s="8"/>
      <c r="N28" s="331">
        <f>J28*L28</f>
        <v>0</v>
      </c>
      <c r="O28" s="141" t="s">
        <v>325</v>
      </c>
      <c r="P28" s="336">
        <v>8.5000000000000006E-2</v>
      </c>
      <c r="Q28" s="367">
        <v>12</v>
      </c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</row>
    <row r="29" spans="1:58" ht="15" customHeight="1">
      <c r="A29" s="380" t="s">
        <v>33</v>
      </c>
      <c r="B29" s="235"/>
      <c r="C29" s="353">
        <v>3.52</v>
      </c>
      <c r="D29" s="220">
        <v>3.96</v>
      </c>
      <c r="E29" s="220"/>
      <c r="F29" s="220"/>
      <c r="G29" s="231"/>
      <c r="H29" s="144">
        <v>563</v>
      </c>
      <c r="I29" s="222">
        <v>41100</v>
      </c>
      <c r="J29" s="160"/>
      <c r="K29" s="145">
        <f t="shared" si="6"/>
        <v>0.27</v>
      </c>
      <c r="L29" s="331">
        <f>SUM(H29-(H29*K29))</f>
        <v>410.99</v>
      </c>
      <c r="M29" s="8"/>
      <c r="N29" s="331">
        <f>J29*L29</f>
        <v>0</v>
      </c>
      <c r="O29" s="141" t="s">
        <v>325</v>
      </c>
      <c r="P29" s="336">
        <v>8.5000000000000006E-2</v>
      </c>
      <c r="Q29" s="367">
        <v>12</v>
      </c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</row>
    <row r="30" spans="1:58" ht="15" customHeight="1">
      <c r="A30" s="380" t="s">
        <v>35</v>
      </c>
      <c r="B30" s="235"/>
      <c r="C30" s="353">
        <v>4.0999999999999996</v>
      </c>
      <c r="D30" s="220">
        <v>4.8</v>
      </c>
      <c r="E30" s="220"/>
      <c r="F30" s="220"/>
      <c r="G30" s="231"/>
      <c r="H30" s="144">
        <v>630</v>
      </c>
      <c r="I30" s="222">
        <v>46000</v>
      </c>
      <c r="J30" s="160"/>
      <c r="K30" s="145">
        <f t="shared" si="6"/>
        <v>0.27</v>
      </c>
      <c r="L30" s="331">
        <f>SUM(H30-(H30*K30))</f>
        <v>459.9</v>
      </c>
      <c r="M30" s="8"/>
      <c r="N30" s="331">
        <f>J30*L30</f>
        <v>0</v>
      </c>
      <c r="O30" s="141" t="s">
        <v>325</v>
      </c>
      <c r="P30" s="336">
        <v>8.5000000000000006E-2</v>
      </c>
      <c r="Q30" s="367">
        <v>12</v>
      </c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</row>
    <row r="31" spans="1:58" ht="30" customHeight="1">
      <c r="A31" s="652" t="s">
        <v>107</v>
      </c>
      <c r="B31" s="653"/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149"/>
      <c r="O31" s="150"/>
      <c r="P31" s="150"/>
      <c r="Q31" s="399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</row>
    <row r="32" spans="1:58" ht="30" customHeight="1">
      <c r="A32" s="537" t="s">
        <v>104</v>
      </c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9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</row>
    <row r="33" spans="1:58" ht="15" customHeight="1">
      <c r="A33" s="380" t="s">
        <v>245</v>
      </c>
      <c r="B33" s="135"/>
      <c r="C33" s="334">
        <v>2.6</v>
      </c>
      <c r="D33" s="334">
        <v>3.5</v>
      </c>
      <c r="E33" s="334"/>
      <c r="F33" s="334"/>
      <c r="G33" s="231"/>
      <c r="H33" s="146">
        <v>1012</v>
      </c>
      <c r="I33" s="333">
        <v>68500</v>
      </c>
      <c r="J33" s="139"/>
      <c r="K33" s="145">
        <f>$H$3</f>
        <v>0.35</v>
      </c>
      <c r="L33" s="331">
        <f>SUM(H33-(H33*K33))</f>
        <v>657.8</v>
      </c>
      <c r="N33" s="358">
        <f>J33*L33</f>
        <v>0</v>
      </c>
      <c r="O33" s="141" t="s">
        <v>333</v>
      </c>
      <c r="P33" s="336">
        <v>0.16800000000000001</v>
      </c>
      <c r="Q33" s="367">
        <v>17</v>
      </c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</row>
    <row r="34" spans="1:58" ht="15" customHeight="1">
      <c r="A34" s="380" t="s">
        <v>247</v>
      </c>
      <c r="B34" s="135"/>
      <c r="C34" s="334">
        <v>3.5</v>
      </c>
      <c r="D34" s="334">
        <v>4.5</v>
      </c>
      <c r="E34" s="334"/>
      <c r="F34" s="334"/>
      <c r="G34" s="231"/>
      <c r="H34" s="146">
        <v>1115</v>
      </c>
      <c r="I34" s="333">
        <v>75400</v>
      </c>
      <c r="J34" s="139"/>
      <c r="K34" s="145">
        <f>$H$3</f>
        <v>0.35</v>
      </c>
      <c r="L34" s="331">
        <f>SUM(H34-(H34*K34))</f>
        <v>724.75</v>
      </c>
      <c r="N34" s="358">
        <f>J34*L34</f>
        <v>0</v>
      </c>
      <c r="O34" s="141" t="s">
        <v>333</v>
      </c>
      <c r="P34" s="336">
        <v>0.17</v>
      </c>
      <c r="Q34" s="367">
        <v>17</v>
      </c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</row>
    <row r="35" spans="1:58" ht="15" customHeight="1">
      <c r="A35" s="380" t="s">
        <v>282</v>
      </c>
      <c r="B35" s="135"/>
      <c r="C35" s="334">
        <v>4.2</v>
      </c>
      <c r="D35" s="334">
        <v>5.2</v>
      </c>
      <c r="E35" s="334"/>
      <c r="F35" s="334"/>
      <c r="G35" s="231"/>
      <c r="H35" s="146">
        <v>1221</v>
      </c>
      <c r="I35" s="333">
        <v>82600</v>
      </c>
      <c r="J35" s="139"/>
      <c r="K35" s="145">
        <f>$H$3</f>
        <v>0.35</v>
      </c>
      <c r="L35" s="331">
        <f>SUM(H35-(H35*K35))</f>
        <v>793.65000000000009</v>
      </c>
      <c r="N35" s="358">
        <f>J35*L35</f>
        <v>0</v>
      </c>
      <c r="O35" s="141" t="s">
        <v>333</v>
      </c>
      <c r="P35" s="336">
        <v>0.17</v>
      </c>
      <c r="Q35" s="367">
        <v>17</v>
      </c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</row>
    <row r="36" spans="1:58" ht="53.25" customHeight="1">
      <c r="A36" s="652" t="s">
        <v>168</v>
      </c>
      <c r="B36" s="653"/>
      <c r="C36" s="653"/>
      <c r="D36" s="653"/>
      <c r="E36" s="653"/>
      <c r="F36" s="653"/>
      <c r="G36" s="653"/>
      <c r="H36" s="653"/>
      <c r="I36" s="653"/>
      <c r="J36" s="653"/>
      <c r="K36" s="653"/>
      <c r="L36" s="653"/>
      <c r="M36" s="653"/>
      <c r="N36" s="149"/>
      <c r="O36" s="150"/>
      <c r="P36" s="150"/>
      <c r="Q36" s="399"/>
      <c r="S36" s="92"/>
      <c r="T36" s="92"/>
      <c r="U36" s="92"/>
    </row>
    <row r="37" spans="1:58" ht="30" customHeight="1">
      <c r="A37" s="537" t="s">
        <v>159</v>
      </c>
      <c r="B37" s="538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9"/>
      <c r="S37" s="92"/>
      <c r="T37" s="92"/>
      <c r="U37" s="92"/>
    </row>
    <row r="38" spans="1:58" ht="15" customHeight="1">
      <c r="A38" s="530" t="s">
        <v>3</v>
      </c>
      <c r="B38" s="143" t="s">
        <v>3</v>
      </c>
      <c r="C38" s="543">
        <v>2.0499999999999998</v>
      </c>
      <c r="D38" s="543">
        <v>2.37</v>
      </c>
      <c r="E38" s="535"/>
      <c r="F38" s="535"/>
      <c r="G38" s="792">
        <f>H38+H39</f>
        <v>1046</v>
      </c>
      <c r="H38" s="144">
        <v>963</v>
      </c>
      <c r="I38" s="532">
        <v>70800</v>
      </c>
      <c r="J38" s="160"/>
      <c r="K38" s="145">
        <f t="shared" ref="K38:K47" si="7">$H$3</f>
        <v>0.35</v>
      </c>
      <c r="L38" s="794">
        <f>M38+M39</f>
        <v>679.90000000000009</v>
      </c>
      <c r="M38" s="233">
        <f t="shared" ref="M38:M47" si="8">SUM(H38-(H38*K38))</f>
        <v>625.95000000000005</v>
      </c>
      <c r="N38" s="331">
        <f>J38*M38</f>
        <v>0</v>
      </c>
      <c r="O38" s="141" t="s">
        <v>349</v>
      </c>
      <c r="P38" s="336">
        <v>0.121</v>
      </c>
      <c r="Q38" s="367">
        <v>18</v>
      </c>
      <c r="S38" s="92"/>
      <c r="T38" s="92"/>
      <c r="U38" s="92"/>
      <c r="V38" s="92"/>
    </row>
    <row r="39" spans="1:58" s="2" customFormat="1" ht="15" customHeight="1">
      <c r="A39" s="531"/>
      <c r="B39" s="143" t="s">
        <v>1271</v>
      </c>
      <c r="C39" s="544"/>
      <c r="D39" s="544"/>
      <c r="E39" s="535"/>
      <c r="F39" s="535"/>
      <c r="G39" s="793"/>
      <c r="H39" s="144">
        <v>83</v>
      </c>
      <c r="I39" s="532"/>
      <c r="J39" s="160"/>
      <c r="K39" s="145">
        <f t="shared" si="7"/>
        <v>0.35</v>
      </c>
      <c r="L39" s="795"/>
      <c r="M39" s="233">
        <f t="shared" si="8"/>
        <v>53.95</v>
      </c>
      <c r="N39" s="331">
        <f t="shared" ref="N39:N47" si="9">J39*M39</f>
        <v>0</v>
      </c>
      <c r="O39" s="339" t="s">
        <v>340</v>
      </c>
      <c r="P39" s="336">
        <v>6.9000000000000006E-2</v>
      </c>
      <c r="Q39" s="367">
        <v>4.5</v>
      </c>
      <c r="R39" s="44"/>
      <c r="S39" s="92"/>
      <c r="T39" s="92"/>
      <c r="U39" s="92"/>
      <c r="V39" s="92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</row>
    <row r="40" spans="1:58" ht="15" customHeight="1">
      <c r="A40" s="530" t="s">
        <v>4</v>
      </c>
      <c r="B40" s="143" t="s">
        <v>4</v>
      </c>
      <c r="C40" s="543">
        <v>2.64</v>
      </c>
      <c r="D40" s="543">
        <v>2.99</v>
      </c>
      <c r="E40" s="535"/>
      <c r="F40" s="535"/>
      <c r="G40" s="792">
        <f>H40+H41</f>
        <v>1098</v>
      </c>
      <c r="H40" s="144">
        <v>1015</v>
      </c>
      <c r="I40" s="532">
        <v>74400</v>
      </c>
      <c r="J40" s="160"/>
      <c r="K40" s="145">
        <f t="shared" si="7"/>
        <v>0.35</v>
      </c>
      <c r="L40" s="794">
        <f>M40+M41</f>
        <v>713.7</v>
      </c>
      <c r="M40" s="233">
        <f t="shared" si="8"/>
        <v>659.75</v>
      </c>
      <c r="N40" s="331">
        <f t="shared" si="9"/>
        <v>0</v>
      </c>
      <c r="O40" s="339" t="s">
        <v>349</v>
      </c>
      <c r="P40" s="336">
        <v>0.121</v>
      </c>
      <c r="Q40" s="367">
        <v>18</v>
      </c>
      <c r="S40" s="92"/>
      <c r="T40" s="92"/>
      <c r="U40" s="92"/>
      <c r="V40" s="92"/>
    </row>
    <row r="41" spans="1:58" s="2" customFormat="1" ht="15" customHeight="1">
      <c r="A41" s="531"/>
      <c r="B41" s="143" t="s">
        <v>1271</v>
      </c>
      <c r="C41" s="544"/>
      <c r="D41" s="544"/>
      <c r="E41" s="535"/>
      <c r="F41" s="535"/>
      <c r="G41" s="793"/>
      <c r="H41" s="144">
        <v>83</v>
      </c>
      <c r="I41" s="532"/>
      <c r="J41" s="160"/>
      <c r="K41" s="145">
        <f t="shared" si="7"/>
        <v>0.35</v>
      </c>
      <c r="L41" s="795"/>
      <c r="M41" s="233">
        <f t="shared" si="8"/>
        <v>53.95</v>
      </c>
      <c r="N41" s="331">
        <f t="shared" si="9"/>
        <v>0</v>
      </c>
      <c r="O41" s="339" t="s">
        <v>340</v>
      </c>
      <c r="P41" s="336">
        <v>6.9000000000000006E-2</v>
      </c>
      <c r="Q41" s="367">
        <v>4.5</v>
      </c>
      <c r="R41" s="44"/>
      <c r="S41" s="92"/>
      <c r="T41" s="92"/>
      <c r="U41" s="92"/>
      <c r="V41" s="92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</row>
    <row r="42" spans="1:58" ht="15" customHeight="1">
      <c r="A42" s="530" t="s">
        <v>61</v>
      </c>
      <c r="B42" s="135" t="s">
        <v>61</v>
      </c>
      <c r="C42" s="540">
        <v>3.52</v>
      </c>
      <c r="D42" s="540">
        <v>3.96</v>
      </c>
      <c r="E42" s="555"/>
      <c r="F42" s="555"/>
      <c r="G42" s="792">
        <f>H42+H43</f>
        <v>1006</v>
      </c>
      <c r="H42" s="144">
        <v>923</v>
      </c>
      <c r="I42" s="532">
        <v>68100</v>
      </c>
      <c r="J42" s="160"/>
      <c r="K42" s="145">
        <f t="shared" si="7"/>
        <v>0.35</v>
      </c>
      <c r="L42" s="794">
        <f>M42+M43</f>
        <v>653.90000000000009</v>
      </c>
      <c r="M42" s="233">
        <f t="shared" si="8"/>
        <v>599.95000000000005</v>
      </c>
      <c r="N42" s="331">
        <f t="shared" si="9"/>
        <v>0</v>
      </c>
      <c r="O42" s="339" t="s">
        <v>349</v>
      </c>
      <c r="P42" s="336">
        <v>0.121</v>
      </c>
      <c r="Q42" s="367">
        <v>18</v>
      </c>
      <c r="S42" s="92"/>
      <c r="T42" s="92"/>
      <c r="U42" s="92"/>
      <c r="V42" s="92"/>
    </row>
    <row r="43" spans="1:58" s="2" customFormat="1" ht="15" customHeight="1">
      <c r="A43" s="531"/>
      <c r="B43" s="143" t="s">
        <v>1271</v>
      </c>
      <c r="C43" s="541"/>
      <c r="D43" s="541"/>
      <c r="E43" s="555"/>
      <c r="F43" s="555"/>
      <c r="G43" s="793"/>
      <c r="H43" s="144">
        <v>83</v>
      </c>
      <c r="I43" s="532"/>
      <c r="J43" s="160"/>
      <c r="K43" s="145">
        <f t="shared" si="7"/>
        <v>0.35</v>
      </c>
      <c r="L43" s="795"/>
      <c r="M43" s="233">
        <f t="shared" si="8"/>
        <v>53.95</v>
      </c>
      <c r="N43" s="331">
        <f t="shared" si="9"/>
        <v>0</v>
      </c>
      <c r="O43" s="339" t="s">
        <v>340</v>
      </c>
      <c r="P43" s="336">
        <v>6.9000000000000006E-2</v>
      </c>
      <c r="Q43" s="367">
        <v>4.5</v>
      </c>
      <c r="R43" s="44"/>
      <c r="S43" s="92"/>
      <c r="T43" s="92"/>
      <c r="U43" s="92"/>
      <c r="V43" s="92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</row>
    <row r="44" spans="1:58" ht="15" customHeight="1">
      <c r="A44" s="530" t="s">
        <v>63</v>
      </c>
      <c r="B44" s="135" t="s">
        <v>63</v>
      </c>
      <c r="C44" s="797">
        <v>4.0999999999999996</v>
      </c>
      <c r="D44" s="797">
        <v>4.8</v>
      </c>
      <c r="E44" s="555"/>
      <c r="F44" s="555"/>
      <c r="G44" s="792">
        <f>H44+H45</f>
        <v>1193</v>
      </c>
      <c r="H44" s="144">
        <v>1110</v>
      </c>
      <c r="I44" s="532">
        <v>80800</v>
      </c>
      <c r="J44" s="160"/>
      <c r="K44" s="145">
        <f t="shared" si="7"/>
        <v>0.35</v>
      </c>
      <c r="L44" s="794">
        <f>M44+M45</f>
        <v>775.45</v>
      </c>
      <c r="M44" s="233">
        <f t="shared" si="8"/>
        <v>721.5</v>
      </c>
      <c r="N44" s="331">
        <f t="shared" si="9"/>
        <v>0</v>
      </c>
      <c r="O44" s="339" t="s">
        <v>349</v>
      </c>
      <c r="P44" s="336">
        <v>0.121</v>
      </c>
      <c r="Q44" s="367">
        <v>18</v>
      </c>
      <c r="S44" s="92"/>
      <c r="T44" s="92"/>
      <c r="U44" s="92"/>
      <c r="V44" s="92"/>
    </row>
    <row r="45" spans="1:58" s="2" customFormat="1" ht="15" customHeight="1">
      <c r="A45" s="531"/>
      <c r="B45" s="143" t="s">
        <v>1271</v>
      </c>
      <c r="C45" s="798"/>
      <c r="D45" s="798"/>
      <c r="E45" s="555"/>
      <c r="F45" s="555"/>
      <c r="G45" s="793"/>
      <c r="H45" s="144">
        <v>83</v>
      </c>
      <c r="I45" s="532"/>
      <c r="J45" s="160"/>
      <c r="K45" s="145">
        <f t="shared" si="7"/>
        <v>0.35</v>
      </c>
      <c r="L45" s="795"/>
      <c r="M45" s="233">
        <f t="shared" si="8"/>
        <v>53.95</v>
      </c>
      <c r="N45" s="331">
        <f t="shared" si="9"/>
        <v>0</v>
      </c>
      <c r="O45" s="339" t="s">
        <v>340</v>
      </c>
      <c r="P45" s="336">
        <v>6.9000000000000006E-2</v>
      </c>
      <c r="Q45" s="367">
        <v>4.5</v>
      </c>
      <c r="R45" s="44"/>
      <c r="S45" s="92"/>
      <c r="T45" s="92"/>
      <c r="U45" s="92"/>
      <c r="V45" s="92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</row>
    <row r="46" spans="1:58" s="2" customFormat="1" ht="15" customHeight="1">
      <c r="A46" s="530" t="s">
        <v>65</v>
      </c>
      <c r="B46" s="135" t="s">
        <v>65</v>
      </c>
      <c r="C46" s="540">
        <v>5.27</v>
      </c>
      <c r="D46" s="540">
        <v>5.86</v>
      </c>
      <c r="E46" s="555"/>
      <c r="F46" s="555"/>
      <c r="G46" s="792">
        <f>H46+H47</f>
        <v>1309</v>
      </c>
      <c r="H46" s="144">
        <v>1226</v>
      </c>
      <c r="I46" s="532">
        <v>88600</v>
      </c>
      <c r="J46" s="160"/>
      <c r="K46" s="145">
        <f t="shared" si="7"/>
        <v>0.35</v>
      </c>
      <c r="L46" s="794">
        <f>M46+M47</f>
        <v>850.85000000000014</v>
      </c>
      <c r="M46" s="233">
        <f t="shared" si="8"/>
        <v>796.90000000000009</v>
      </c>
      <c r="N46" s="331">
        <f t="shared" si="9"/>
        <v>0</v>
      </c>
      <c r="O46" s="339" t="s">
        <v>349</v>
      </c>
      <c r="P46" s="336">
        <v>0.121</v>
      </c>
      <c r="Q46" s="370">
        <v>18</v>
      </c>
      <c r="R46" s="44"/>
      <c r="S46" s="92"/>
      <c r="T46" s="92"/>
      <c r="U46" s="92"/>
      <c r="V46" s="92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</row>
    <row r="47" spans="1:58" s="2" customFormat="1" ht="15" customHeight="1">
      <c r="A47" s="531"/>
      <c r="B47" s="143" t="s">
        <v>1271</v>
      </c>
      <c r="C47" s="541"/>
      <c r="D47" s="541"/>
      <c r="E47" s="555"/>
      <c r="F47" s="555"/>
      <c r="G47" s="793"/>
      <c r="H47" s="144">
        <v>83</v>
      </c>
      <c r="I47" s="532"/>
      <c r="J47" s="160"/>
      <c r="K47" s="145">
        <f t="shared" si="7"/>
        <v>0.35</v>
      </c>
      <c r="L47" s="795"/>
      <c r="M47" s="233">
        <f t="shared" si="8"/>
        <v>53.95</v>
      </c>
      <c r="N47" s="331">
        <f t="shared" si="9"/>
        <v>0</v>
      </c>
      <c r="O47" s="339" t="s">
        <v>340</v>
      </c>
      <c r="P47" s="336">
        <v>6.9000000000000006E-2</v>
      </c>
      <c r="Q47" s="367">
        <v>4.5</v>
      </c>
      <c r="R47" s="44"/>
      <c r="S47" s="92"/>
      <c r="T47" s="92"/>
      <c r="U47" s="92"/>
      <c r="V47" s="92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</row>
    <row r="48" spans="1:58" ht="42" customHeight="1">
      <c r="A48" s="652" t="s">
        <v>169</v>
      </c>
      <c r="B48" s="653"/>
      <c r="C48" s="653"/>
      <c r="D48" s="653"/>
      <c r="E48" s="653"/>
      <c r="F48" s="653"/>
      <c r="G48" s="653"/>
      <c r="H48" s="653"/>
      <c r="I48" s="653"/>
      <c r="J48" s="653"/>
      <c r="K48" s="653"/>
      <c r="L48" s="653"/>
      <c r="M48" s="653"/>
      <c r="N48" s="149"/>
      <c r="O48" s="150"/>
      <c r="P48" s="150"/>
      <c r="Q48" s="399"/>
      <c r="S48" s="92"/>
      <c r="T48" s="92"/>
      <c r="U48" s="92"/>
    </row>
    <row r="49" spans="1:51" ht="30" customHeight="1">
      <c r="A49" s="537" t="s">
        <v>170</v>
      </c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9"/>
      <c r="S49" s="92"/>
      <c r="T49" s="92"/>
      <c r="U49" s="92"/>
    </row>
    <row r="50" spans="1:51" ht="15" customHeight="1">
      <c r="A50" s="380" t="s">
        <v>5</v>
      </c>
      <c r="B50" s="235"/>
      <c r="C50" s="353">
        <v>2.0499999999999998</v>
      </c>
      <c r="D50" s="220">
        <v>2.37</v>
      </c>
      <c r="E50" s="220"/>
      <c r="F50" s="220"/>
      <c r="G50" s="231"/>
      <c r="H50" s="144">
        <v>814</v>
      </c>
      <c r="I50" s="222">
        <v>55100</v>
      </c>
      <c r="J50" s="160"/>
      <c r="K50" s="145">
        <f>$H$3</f>
        <v>0.35</v>
      </c>
      <c r="L50" s="331">
        <f>SUM(H50-(H50*K50))</f>
        <v>529.1</v>
      </c>
      <c r="N50" s="331">
        <f>J50*L50</f>
        <v>0</v>
      </c>
      <c r="O50" s="141" t="s">
        <v>344</v>
      </c>
      <c r="P50" s="336">
        <v>0.20200000000000001</v>
      </c>
      <c r="Q50" s="367">
        <v>24</v>
      </c>
      <c r="S50" s="92"/>
      <c r="T50" s="92"/>
      <c r="U50" s="92"/>
      <c r="V50" s="92"/>
    </row>
    <row r="51" spans="1:51" ht="15" customHeight="1">
      <c r="A51" s="380" t="s">
        <v>6</v>
      </c>
      <c r="B51" s="235"/>
      <c r="C51" s="353">
        <v>2.64</v>
      </c>
      <c r="D51" s="220">
        <v>2.99</v>
      </c>
      <c r="E51" s="220"/>
      <c r="F51" s="220"/>
      <c r="G51" s="231"/>
      <c r="H51" s="144">
        <v>846</v>
      </c>
      <c r="I51" s="222">
        <v>57200</v>
      </c>
      <c r="J51" s="160"/>
      <c r="K51" s="145">
        <f>$H$3</f>
        <v>0.35</v>
      </c>
      <c r="L51" s="331">
        <f>SUM(H51-(H51*K51))</f>
        <v>549.90000000000009</v>
      </c>
      <c r="N51" s="331">
        <f>J51*L51</f>
        <v>0</v>
      </c>
      <c r="O51" s="141" t="s">
        <v>344</v>
      </c>
      <c r="P51" s="336">
        <v>0.20200000000000001</v>
      </c>
      <c r="Q51" s="370">
        <v>26</v>
      </c>
      <c r="S51" s="92"/>
      <c r="T51" s="92"/>
      <c r="U51" s="92"/>
      <c r="V51" s="92"/>
    </row>
    <row r="52" spans="1:51" ht="15" customHeight="1">
      <c r="A52" s="380" t="s">
        <v>67</v>
      </c>
      <c r="B52" s="238"/>
      <c r="C52" s="353">
        <v>3.52</v>
      </c>
      <c r="D52" s="353">
        <v>3.96</v>
      </c>
      <c r="E52" s="353"/>
      <c r="F52" s="353"/>
      <c r="G52" s="231"/>
      <c r="H52" s="144">
        <v>983</v>
      </c>
      <c r="I52" s="222">
        <v>66500</v>
      </c>
      <c r="J52" s="160"/>
      <c r="K52" s="145">
        <f>$H$3</f>
        <v>0.35</v>
      </c>
      <c r="L52" s="331">
        <f>SUM(H52-(H52*K52))</f>
        <v>638.95000000000005</v>
      </c>
      <c r="N52" s="331">
        <f>J52*L52</f>
        <v>0</v>
      </c>
      <c r="O52" s="141" t="s">
        <v>344</v>
      </c>
      <c r="P52" s="336">
        <v>0.20200000000000001</v>
      </c>
      <c r="Q52" s="370">
        <v>26</v>
      </c>
      <c r="S52" s="92"/>
      <c r="T52" s="92"/>
      <c r="U52" s="92"/>
      <c r="V52" s="92"/>
    </row>
    <row r="53" spans="1:51" ht="15" customHeight="1">
      <c r="A53" s="380" t="s">
        <v>68</v>
      </c>
      <c r="B53" s="238"/>
      <c r="C53" s="239">
        <v>4.0999999999999996</v>
      </c>
      <c r="D53" s="239">
        <v>4.8</v>
      </c>
      <c r="E53" s="353"/>
      <c r="F53" s="353"/>
      <c r="G53" s="231"/>
      <c r="H53" s="144">
        <v>1144</v>
      </c>
      <c r="I53" s="222">
        <v>77400</v>
      </c>
      <c r="J53" s="160"/>
      <c r="K53" s="145">
        <f>$H$3</f>
        <v>0.35</v>
      </c>
      <c r="L53" s="331">
        <f>SUM(H53-(H53*K53))</f>
        <v>743.6</v>
      </c>
      <c r="N53" s="331">
        <f>J53*L53</f>
        <v>0</v>
      </c>
      <c r="O53" s="141" t="s">
        <v>344</v>
      </c>
      <c r="P53" s="336">
        <v>0.20200000000000001</v>
      </c>
      <c r="Q53" s="367">
        <v>26</v>
      </c>
      <c r="S53" s="92"/>
      <c r="T53" s="92"/>
      <c r="U53" s="92"/>
      <c r="V53" s="92"/>
    </row>
    <row r="54" spans="1:51" ht="15" customHeight="1">
      <c r="A54" s="380" t="s">
        <v>69</v>
      </c>
      <c r="B54" s="238"/>
      <c r="C54" s="353">
        <v>5.27</v>
      </c>
      <c r="D54" s="353">
        <v>5.86</v>
      </c>
      <c r="E54" s="353"/>
      <c r="F54" s="353"/>
      <c r="G54" s="231"/>
      <c r="H54" s="144">
        <v>1092</v>
      </c>
      <c r="I54" s="222">
        <v>73900</v>
      </c>
      <c r="J54" s="160"/>
      <c r="K54" s="145">
        <f>$H$3</f>
        <v>0.35</v>
      </c>
      <c r="L54" s="331">
        <f>SUM(H54-(H54*K54))</f>
        <v>709.8</v>
      </c>
      <c r="N54" s="331">
        <f>J54*L54</f>
        <v>0</v>
      </c>
      <c r="O54" s="339" t="s">
        <v>544</v>
      </c>
      <c r="P54" s="336">
        <v>0.24399999999999999</v>
      </c>
      <c r="Q54" s="370">
        <v>30</v>
      </c>
      <c r="S54" s="92"/>
      <c r="T54" s="92"/>
      <c r="U54" s="92"/>
      <c r="V54" s="92"/>
    </row>
    <row r="55" spans="1:51" ht="30" customHeight="1">
      <c r="A55" s="652" t="s">
        <v>171</v>
      </c>
      <c r="B55" s="653"/>
      <c r="C55" s="653"/>
      <c r="D55" s="653"/>
      <c r="E55" s="653"/>
      <c r="F55" s="653"/>
      <c r="G55" s="653"/>
      <c r="H55" s="653"/>
      <c r="I55" s="653"/>
      <c r="J55" s="653"/>
      <c r="K55" s="653"/>
      <c r="L55" s="653"/>
      <c r="M55" s="653"/>
      <c r="N55" s="149"/>
      <c r="O55" s="150"/>
      <c r="P55" s="150"/>
      <c r="Q55" s="399"/>
      <c r="S55" s="92"/>
      <c r="T55" s="92"/>
      <c r="U55" s="92"/>
    </row>
    <row r="56" spans="1:51" ht="30" customHeight="1">
      <c r="A56" s="537" t="s">
        <v>157</v>
      </c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  <c r="O56" s="538"/>
      <c r="P56" s="538"/>
      <c r="Q56" s="539"/>
      <c r="S56" s="92"/>
      <c r="T56" s="92"/>
      <c r="U56" s="92"/>
    </row>
    <row r="57" spans="1:51" ht="15" customHeight="1">
      <c r="A57" s="401" t="s">
        <v>2</v>
      </c>
      <c r="B57" s="235"/>
      <c r="C57" s="239">
        <v>4.0999999999999996</v>
      </c>
      <c r="D57" s="237">
        <v>4.8</v>
      </c>
      <c r="E57" s="220"/>
      <c r="F57" s="220"/>
      <c r="G57" s="231"/>
      <c r="H57" s="144">
        <v>1093</v>
      </c>
      <c r="I57" s="222">
        <v>73900</v>
      </c>
      <c r="J57" s="160"/>
      <c r="K57" s="145">
        <f>$H$3</f>
        <v>0.35</v>
      </c>
      <c r="L57" s="331">
        <f>SUM(H57-(H57*K57))</f>
        <v>710.45</v>
      </c>
      <c r="N57" s="331">
        <f>J57*L57</f>
        <v>0</v>
      </c>
      <c r="O57" s="141" t="s">
        <v>337</v>
      </c>
      <c r="P57" s="336">
        <v>0.29099999999999998</v>
      </c>
      <c r="Q57" s="370">
        <v>36</v>
      </c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</row>
    <row r="58" spans="1:51" ht="15" customHeight="1">
      <c r="A58" s="422" t="s">
        <v>66</v>
      </c>
      <c r="B58" s="235"/>
      <c r="C58" s="353">
        <v>5.27</v>
      </c>
      <c r="D58" s="220">
        <v>5.86</v>
      </c>
      <c r="E58" s="220"/>
      <c r="F58" s="220"/>
      <c r="G58" s="231"/>
      <c r="H58" s="144">
        <v>1048</v>
      </c>
      <c r="I58" s="222">
        <v>70900</v>
      </c>
      <c r="J58" s="160"/>
      <c r="K58" s="145">
        <f>$H$3</f>
        <v>0.35</v>
      </c>
      <c r="L58" s="331">
        <f>SUM(H58-(H58*K58))</f>
        <v>681.2</v>
      </c>
      <c r="N58" s="331">
        <f>J58*L58</f>
        <v>0</v>
      </c>
      <c r="O58" s="141" t="s">
        <v>337</v>
      </c>
      <c r="P58" s="336">
        <v>0.29099999999999998</v>
      </c>
      <c r="Q58" s="370">
        <v>36</v>
      </c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</row>
    <row r="59" spans="1:51" ht="15" customHeight="1">
      <c r="A59" s="432" t="s">
        <v>666</v>
      </c>
      <c r="B59" s="235"/>
      <c r="C59" s="239">
        <v>6.25</v>
      </c>
      <c r="D59" s="237">
        <v>7</v>
      </c>
      <c r="E59" s="220"/>
      <c r="F59" s="220"/>
      <c r="G59" s="231"/>
      <c r="H59" s="350">
        <v>1400</v>
      </c>
      <c r="I59" s="222">
        <v>94700</v>
      </c>
      <c r="J59" s="160"/>
      <c r="K59" s="145">
        <f>$H$3</f>
        <v>0.35</v>
      </c>
      <c r="L59" s="331">
        <f>SUM(H59-(H59*K59))</f>
        <v>910</v>
      </c>
      <c r="N59" s="331">
        <f>J59*L59</f>
        <v>0</v>
      </c>
      <c r="O59" s="141" t="s">
        <v>337</v>
      </c>
      <c r="P59" s="336">
        <v>0.29099999999999998</v>
      </c>
      <c r="Q59" s="370">
        <v>36</v>
      </c>
      <c r="S59" s="92"/>
      <c r="T59" s="92"/>
      <c r="U59" s="92"/>
      <c r="V59" s="92"/>
    </row>
    <row r="60" spans="1:51" ht="15" customHeight="1">
      <c r="A60" s="422" t="s">
        <v>202</v>
      </c>
      <c r="B60" s="235"/>
      <c r="C60" s="237">
        <v>7</v>
      </c>
      <c r="D60" s="237">
        <v>8</v>
      </c>
      <c r="E60" s="220"/>
      <c r="F60" s="220"/>
      <c r="G60" s="231"/>
      <c r="H60" s="350">
        <v>1501</v>
      </c>
      <c r="I60" s="222">
        <v>101500</v>
      </c>
      <c r="J60" s="160"/>
      <c r="K60" s="145">
        <f>$H$3</f>
        <v>0.35</v>
      </c>
      <c r="L60" s="331">
        <f>SUM(H60-(H60*K60))</f>
        <v>975.65</v>
      </c>
      <c r="N60" s="331">
        <f>J60*L60</f>
        <v>0</v>
      </c>
      <c r="O60" s="141" t="s">
        <v>337</v>
      </c>
      <c r="P60" s="336">
        <v>0.29099999999999998</v>
      </c>
      <c r="Q60" s="370">
        <v>36</v>
      </c>
      <c r="S60" s="92"/>
      <c r="T60" s="92"/>
      <c r="U60" s="92"/>
      <c r="V60" s="92"/>
    </row>
    <row r="61" spans="1:51" ht="40.25" customHeight="1">
      <c r="A61" s="652" t="s">
        <v>1414</v>
      </c>
      <c r="B61" s="653"/>
      <c r="C61" s="653"/>
      <c r="D61" s="653"/>
      <c r="E61" s="653"/>
      <c r="F61" s="653"/>
      <c r="G61" s="653"/>
      <c r="H61" s="653"/>
      <c r="I61" s="653"/>
      <c r="J61" s="653"/>
      <c r="K61" s="653"/>
      <c r="L61" s="653"/>
      <c r="M61" s="653"/>
      <c r="N61" s="149"/>
      <c r="O61" s="150"/>
      <c r="P61" s="150"/>
      <c r="Q61" s="399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</row>
    <row r="62" spans="1:51" ht="30" customHeight="1">
      <c r="A62" s="537" t="s">
        <v>166</v>
      </c>
      <c r="B62" s="538"/>
      <c r="C62" s="538"/>
      <c r="D62" s="538"/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  <c r="P62" s="538"/>
      <c r="Q62" s="539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</row>
    <row r="63" spans="1:51" ht="30" customHeight="1">
      <c r="A63" s="380" t="s">
        <v>1415</v>
      </c>
      <c r="B63" s="235"/>
      <c r="C63" s="353" t="s">
        <v>1417</v>
      </c>
      <c r="D63" s="220" t="s">
        <v>1053</v>
      </c>
      <c r="E63" s="220" t="s">
        <v>88</v>
      </c>
      <c r="F63" s="220" t="s">
        <v>1418</v>
      </c>
      <c r="G63" s="231"/>
      <c r="H63" s="144">
        <v>1399</v>
      </c>
      <c r="I63" s="222">
        <v>94600</v>
      </c>
      <c r="J63" s="160"/>
      <c r="K63" s="145">
        <f>$H$3</f>
        <v>0.35</v>
      </c>
      <c r="L63" s="331">
        <f>SUM(H63-(H63*K63))</f>
        <v>909.35</v>
      </c>
      <c r="M63" s="8"/>
      <c r="N63" s="331">
        <f>J63*L63</f>
        <v>0</v>
      </c>
      <c r="O63" s="339" t="s">
        <v>887</v>
      </c>
      <c r="P63" s="174">
        <v>0.125</v>
      </c>
      <c r="Q63" s="370">
        <v>37</v>
      </c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</row>
    <row r="64" spans="1:51" ht="30" customHeight="1">
      <c r="A64" s="380" t="s">
        <v>1416</v>
      </c>
      <c r="B64" s="235"/>
      <c r="C64" s="353" t="s">
        <v>1419</v>
      </c>
      <c r="D64" s="220" t="s">
        <v>1420</v>
      </c>
      <c r="E64" s="220" t="s">
        <v>1421</v>
      </c>
      <c r="F64" s="220" t="s">
        <v>1422</v>
      </c>
      <c r="G64" s="231"/>
      <c r="H64" s="144">
        <v>1790</v>
      </c>
      <c r="I64" s="222">
        <v>121000</v>
      </c>
      <c r="J64" s="160"/>
      <c r="K64" s="145">
        <f>$H$3</f>
        <v>0.35</v>
      </c>
      <c r="L64" s="331">
        <f>SUM(H64-(H64*K64))</f>
        <v>1163.5</v>
      </c>
      <c r="M64" s="8"/>
      <c r="N64" s="331">
        <f>J64*L64</f>
        <v>0</v>
      </c>
      <c r="O64" s="339" t="s">
        <v>888</v>
      </c>
      <c r="P64" s="174">
        <v>0.14599999999999999</v>
      </c>
      <c r="Q64" s="370">
        <v>41</v>
      </c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</row>
    <row r="65" spans="1:51" ht="42" customHeight="1">
      <c r="A65" s="652" t="s">
        <v>1423</v>
      </c>
      <c r="B65" s="653"/>
      <c r="C65" s="653"/>
      <c r="D65" s="653"/>
      <c r="E65" s="653"/>
      <c r="F65" s="653"/>
      <c r="G65" s="653"/>
      <c r="H65" s="653"/>
      <c r="I65" s="653"/>
      <c r="J65" s="653"/>
      <c r="K65" s="653"/>
      <c r="L65" s="653"/>
      <c r="M65" s="653"/>
      <c r="N65" s="653"/>
      <c r="O65" s="653"/>
      <c r="P65" s="653"/>
      <c r="Q65" s="796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</row>
    <row r="66" spans="1:51" ht="30" customHeight="1">
      <c r="A66" s="537" t="s">
        <v>167</v>
      </c>
      <c r="B66" s="538"/>
      <c r="C66" s="538"/>
      <c r="D66" s="538"/>
      <c r="E66" s="538"/>
      <c r="F66" s="538"/>
      <c r="G66" s="538"/>
      <c r="H66" s="538"/>
      <c r="I66" s="538"/>
      <c r="J66" s="538"/>
      <c r="K66" s="538"/>
      <c r="L66" s="538"/>
      <c r="M66" s="538"/>
      <c r="N66" s="538"/>
      <c r="O66" s="538"/>
      <c r="P66" s="538"/>
      <c r="Q66" s="539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</row>
    <row r="67" spans="1:51" ht="15" customHeight="1">
      <c r="A67" s="380" t="s">
        <v>1110</v>
      </c>
      <c r="B67" s="235"/>
      <c r="C67" s="353">
        <v>2</v>
      </c>
      <c r="D67" s="220">
        <v>2.5</v>
      </c>
      <c r="E67" s="220"/>
      <c r="F67" s="220"/>
      <c r="G67" s="231"/>
      <c r="H67" s="144">
        <v>244</v>
      </c>
      <c r="I67" s="222">
        <v>17900</v>
      </c>
      <c r="J67" s="160"/>
      <c r="K67" s="145">
        <f>$C$3</f>
        <v>0.27</v>
      </c>
      <c r="L67" s="331">
        <f>SUM(H67-(H67*K67))</f>
        <v>178.12</v>
      </c>
      <c r="M67" s="8"/>
      <c r="N67" s="331">
        <f>J67*L67</f>
        <v>0</v>
      </c>
      <c r="O67" s="141" t="s">
        <v>889</v>
      </c>
      <c r="P67" s="142">
        <v>8.4000000000000005E-2</v>
      </c>
      <c r="Q67" s="369">
        <v>12.5</v>
      </c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</row>
    <row r="68" spans="1:51" ht="15" customHeight="1">
      <c r="A68" s="380" t="s">
        <v>1112</v>
      </c>
      <c r="B68" s="235"/>
      <c r="C68" s="353">
        <v>2.5</v>
      </c>
      <c r="D68" s="220">
        <v>2.8</v>
      </c>
      <c r="E68" s="220"/>
      <c r="F68" s="220"/>
      <c r="G68" s="231"/>
      <c r="H68" s="144">
        <v>264</v>
      </c>
      <c r="I68" s="222">
        <v>19300</v>
      </c>
      <c r="J68" s="160"/>
      <c r="K68" s="145">
        <f t="shared" ref="K68:K70" si="10">$C$3</f>
        <v>0.27</v>
      </c>
      <c r="L68" s="331">
        <f>SUM(H68-(H68*K68))</f>
        <v>192.72</v>
      </c>
      <c r="M68" s="8"/>
      <c r="N68" s="331">
        <f>J68*L68</f>
        <v>0</v>
      </c>
      <c r="O68" s="141" t="s">
        <v>889</v>
      </c>
      <c r="P68" s="142">
        <v>8.4000000000000005E-2</v>
      </c>
      <c r="Q68" s="369">
        <v>12.5</v>
      </c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</row>
    <row r="69" spans="1:51" s="11" customFormat="1" ht="15" customHeight="1">
      <c r="A69" s="380" t="s">
        <v>1114</v>
      </c>
      <c r="B69" s="235"/>
      <c r="C69" s="353">
        <v>3.4</v>
      </c>
      <c r="D69" s="220">
        <v>4</v>
      </c>
      <c r="E69" s="220"/>
      <c r="F69" s="220"/>
      <c r="G69" s="231"/>
      <c r="H69" s="144">
        <v>319</v>
      </c>
      <c r="I69" s="222">
        <v>23300</v>
      </c>
      <c r="J69" s="160"/>
      <c r="K69" s="145">
        <f t="shared" si="10"/>
        <v>0.27</v>
      </c>
      <c r="L69" s="331">
        <f t="shared" ref="L69:L70" si="11">SUM(H69-(H69*K69))</f>
        <v>232.87</v>
      </c>
      <c r="M69" s="8"/>
      <c r="N69" s="331">
        <f t="shared" ref="N69:N70" si="12">J69*L69</f>
        <v>0</v>
      </c>
      <c r="O69" s="141" t="s">
        <v>889</v>
      </c>
      <c r="P69" s="142">
        <v>8.4000000000000005E-2</v>
      </c>
      <c r="Q69" s="369">
        <v>12.5</v>
      </c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</row>
    <row r="70" spans="1:51" s="11" customFormat="1" ht="15" customHeight="1">
      <c r="A70" s="380" t="s">
        <v>1116</v>
      </c>
      <c r="B70" s="235"/>
      <c r="C70" s="353">
        <v>4.2</v>
      </c>
      <c r="D70" s="220">
        <v>5.4</v>
      </c>
      <c r="E70" s="220"/>
      <c r="F70" s="220"/>
      <c r="G70" s="231"/>
      <c r="H70" s="144">
        <v>487</v>
      </c>
      <c r="I70" s="222">
        <v>35600</v>
      </c>
      <c r="J70" s="160"/>
      <c r="K70" s="145">
        <f t="shared" si="10"/>
        <v>0.27</v>
      </c>
      <c r="L70" s="331">
        <f t="shared" si="11"/>
        <v>355.51</v>
      </c>
      <c r="M70" s="8"/>
      <c r="N70" s="331">
        <f t="shared" si="12"/>
        <v>0</v>
      </c>
      <c r="O70" s="141" t="s">
        <v>889</v>
      </c>
      <c r="P70" s="142">
        <v>8.4000000000000005E-2</v>
      </c>
      <c r="Q70" s="369">
        <v>12.5</v>
      </c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</row>
    <row r="71" spans="1:51" ht="42" customHeight="1">
      <c r="A71" s="652" t="s">
        <v>1424</v>
      </c>
      <c r="B71" s="653"/>
      <c r="C71" s="653"/>
      <c r="D71" s="653"/>
      <c r="E71" s="653"/>
      <c r="F71" s="653"/>
      <c r="G71" s="653"/>
      <c r="H71" s="653"/>
      <c r="I71" s="653"/>
      <c r="J71" s="653"/>
      <c r="K71" s="653"/>
      <c r="L71" s="653"/>
      <c r="M71" s="653"/>
      <c r="N71" s="653"/>
      <c r="O71" s="653"/>
      <c r="P71" s="653"/>
      <c r="Q71" s="796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</row>
    <row r="72" spans="1:51" ht="30" customHeight="1">
      <c r="A72" s="537" t="s">
        <v>167</v>
      </c>
      <c r="B72" s="538"/>
      <c r="C72" s="538"/>
      <c r="D72" s="538"/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539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</row>
    <row r="73" spans="1:51" ht="15" customHeight="1">
      <c r="A73" s="380" t="s">
        <v>1076</v>
      </c>
      <c r="B73" s="235"/>
      <c r="C73" s="353">
        <v>2</v>
      </c>
      <c r="D73" s="220">
        <v>2.5</v>
      </c>
      <c r="E73" s="220"/>
      <c r="F73" s="220"/>
      <c r="G73" s="231"/>
      <c r="H73" s="144">
        <v>285</v>
      </c>
      <c r="I73" s="222">
        <v>20900</v>
      </c>
      <c r="J73" s="160"/>
      <c r="K73" s="145">
        <f>$C$3</f>
        <v>0.27</v>
      </c>
      <c r="L73" s="331">
        <f>SUM(H73-(H73*K73))</f>
        <v>208.05</v>
      </c>
      <c r="M73" s="8"/>
      <c r="N73" s="331">
        <f>J73*L73</f>
        <v>0</v>
      </c>
      <c r="O73" s="141" t="s">
        <v>1101</v>
      </c>
      <c r="P73" s="336">
        <v>6.4000000000000001E-2</v>
      </c>
      <c r="Q73" s="367">
        <v>11</v>
      </c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</row>
    <row r="74" spans="1:51" ht="15" customHeight="1">
      <c r="A74" s="380" t="s">
        <v>1077</v>
      </c>
      <c r="B74" s="235"/>
      <c r="C74" s="353">
        <v>2</v>
      </c>
      <c r="D74" s="220">
        <v>2.5</v>
      </c>
      <c r="E74" s="220"/>
      <c r="F74" s="220"/>
      <c r="G74" s="231"/>
      <c r="H74" s="144">
        <v>291</v>
      </c>
      <c r="I74" s="222">
        <v>21300</v>
      </c>
      <c r="J74" s="160"/>
      <c r="K74" s="145">
        <f>$C$3</f>
        <v>0.27</v>
      </c>
      <c r="L74" s="331">
        <f>SUM(H74-(H74*K74))</f>
        <v>212.43</v>
      </c>
      <c r="M74" s="8"/>
      <c r="N74" s="331">
        <f>J74*L74</f>
        <v>0</v>
      </c>
      <c r="O74" s="141" t="s">
        <v>1101</v>
      </c>
      <c r="P74" s="336">
        <v>6.4000000000000001E-2</v>
      </c>
      <c r="Q74" s="367">
        <v>11</v>
      </c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</row>
    <row r="75" spans="1:51" ht="15" customHeight="1">
      <c r="A75" s="380" t="s">
        <v>1079</v>
      </c>
      <c r="B75" s="235"/>
      <c r="C75" s="353">
        <v>2.5</v>
      </c>
      <c r="D75" s="220">
        <v>2.8</v>
      </c>
      <c r="E75" s="220"/>
      <c r="F75" s="220"/>
      <c r="G75" s="231"/>
      <c r="H75" s="144">
        <v>312</v>
      </c>
      <c r="I75" s="222">
        <v>22800</v>
      </c>
      <c r="J75" s="160"/>
      <c r="K75" s="145">
        <f t="shared" ref="K75:K80" si="13">$C$3</f>
        <v>0.27</v>
      </c>
      <c r="L75" s="331">
        <f>SUM(H75-(H75*K75))</f>
        <v>227.76</v>
      </c>
      <c r="M75" s="8"/>
      <c r="N75" s="331">
        <f>J75*L75</f>
        <v>0</v>
      </c>
      <c r="O75" s="141" t="s">
        <v>1101</v>
      </c>
      <c r="P75" s="336">
        <v>6.4000000000000001E-2</v>
      </c>
      <c r="Q75" s="367">
        <v>11</v>
      </c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</row>
    <row r="76" spans="1:51" s="11" customFormat="1" ht="15" customHeight="1">
      <c r="A76" s="380" t="s">
        <v>1081</v>
      </c>
      <c r="B76" s="235"/>
      <c r="C76" s="353">
        <v>2.5</v>
      </c>
      <c r="D76" s="220">
        <v>2.8</v>
      </c>
      <c r="E76" s="220"/>
      <c r="F76" s="220"/>
      <c r="G76" s="231"/>
      <c r="H76" s="144">
        <v>316</v>
      </c>
      <c r="I76" s="222">
        <v>23100</v>
      </c>
      <c r="J76" s="160"/>
      <c r="K76" s="145">
        <f t="shared" si="13"/>
        <v>0.27</v>
      </c>
      <c r="L76" s="331">
        <f t="shared" ref="L76:L77" si="14">SUM(H76-(H76*K76))</f>
        <v>230.68</v>
      </c>
      <c r="M76" s="8"/>
      <c r="N76" s="331">
        <f t="shared" ref="N76:N77" si="15">J76*L76</f>
        <v>0</v>
      </c>
      <c r="O76" s="141" t="s">
        <v>1101</v>
      </c>
      <c r="P76" s="336">
        <v>6.4000000000000001E-2</v>
      </c>
      <c r="Q76" s="367">
        <v>11</v>
      </c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</row>
    <row r="77" spans="1:51" s="11" customFormat="1" ht="15" customHeight="1">
      <c r="A77" s="380" t="s">
        <v>1082</v>
      </c>
      <c r="B77" s="235"/>
      <c r="C77" s="353">
        <v>3.4</v>
      </c>
      <c r="D77" s="220">
        <v>4</v>
      </c>
      <c r="E77" s="220"/>
      <c r="F77" s="220"/>
      <c r="G77" s="231"/>
      <c r="H77" s="144">
        <v>373</v>
      </c>
      <c r="I77" s="222">
        <v>27300</v>
      </c>
      <c r="J77" s="160"/>
      <c r="K77" s="145">
        <f t="shared" si="13"/>
        <v>0.27</v>
      </c>
      <c r="L77" s="331">
        <f t="shared" si="14"/>
        <v>272.28999999999996</v>
      </c>
      <c r="M77" s="8"/>
      <c r="N77" s="331">
        <f t="shared" si="15"/>
        <v>0</v>
      </c>
      <c r="O77" s="141" t="s">
        <v>1101</v>
      </c>
      <c r="P77" s="336">
        <v>6.4000000000000001E-2</v>
      </c>
      <c r="Q77" s="367">
        <v>11</v>
      </c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</row>
    <row r="78" spans="1:51" s="11" customFormat="1" ht="15" customHeight="1">
      <c r="A78" s="380" t="s">
        <v>1084</v>
      </c>
      <c r="B78" s="235"/>
      <c r="C78" s="353">
        <v>3.4</v>
      </c>
      <c r="D78" s="220">
        <v>4</v>
      </c>
      <c r="E78" s="220"/>
      <c r="F78" s="220"/>
      <c r="G78" s="231"/>
      <c r="H78" s="144">
        <v>380</v>
      </c>
      <c r="I78" s="222">
        <v>27800</v>
      </c>
      <c r="J78" s="160"/>
      <c r="K78" s="145">
        <f t="shared" si="13"/>
        <v>0.27</v>
      </c>
      <c r="L78" s="331">
        <f t="shared" ref="L78:L80" si="16">SUM(H78-(H78*K78))</f>
        <v>277.39999999999998</v>
      </c>
      <c r="M78" s="8"/>
      <c r="N78" s="331">
        <f t="shared" ref="N78:N80" si="17">J78*L78</f>
        <v>0</v>
      </c>
      <c r="O78" s="141" t="s">
        <v>1101</v>
      </c>
      <c r="P78" s="336">
        <v>6.4000000000000001E-2</v>
      </c>
      <c r="Q78" s="367">
        <v>11</v>
      </c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</row>
    <row r="79" spans="1:51" s="11" customFormat="1" ht="15" customHeight="1">
      <c r="A79" s="380" t="s">
        <v>1085</v>
      </c>
      <c r="B79" s="235"/>
      <c r="C79" s="353">
        <v>4.2</v>
      </c>
      <c r="D79" s="220">
        <v>5.4</v>
      </c>
      <c r="E79" s="220"/>
      <c r="F79" s="220"/>
      <c r="G79" s="231"/>
      <c r="H79" s="144">
        <v>576</v>
      </c>
      <c r="I79" s="222">
        <v>42100</v>
      </c>
      <c r="J79" s="160"/>
      <c r="K79" s="145">
        <f t="shared" si="13"/>
        <v>0.27</v>
      </c>
      <c r="L79" s="331">
        <f t="shared" si="16"/>
        <v>420.48</v>
      </c>
      <c r="M79" s="8"/>
      <c r="N79" s="331">
        <f t="shared" si="17"/>
        <v>0</v>
      </c>
      <c r="O79" s="141" t="s">
        <v>1101</v>
      </c>
      <c r="P79" s="336">
        <v>6.4000000000000001E-2</v>
      </c>
      <c r="Q79" s="367">
        <v>11</v>
      </c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</row>
    <row r="80" spans="1:51" s="11" customFormat="1" ht="15" customHeight="1">
      <c r="A80" s="380" t="s">
        <v>1087</v>
      </c>
      <c r="B80" s="235"/>
      <c r="C80" s="353">
        <v>4.2</v>
      </c>
      <c r="D80" s="220">
        <v>5.4</v>
      </c>
      <c r="E80" s="220"/>
      <c r="F80" s="220"/>
      <c r="G80" s="231"/>
      <c r="H80" s="144">
        <v>585</v>
      </c>
      <c r="I80" s="222">
        <v>42800</v>
      </c>
      <c r="J80" s="160"/>
      <c r="K80" s="145">
        <f t="shared" si="13"/>
        <v>0.27</v>
      </c>
      <c r="L80" s="331">
        <f t="shared" si="16"/>
        <v>427.04999999999995</v>
      </c>
      <c r="M80" s="8"/>
      <c r="N80" s="331">
        <f t="shared" si="17"/>
        <v>0</v>
      </c>
      <c r="O80" s="141" t="s">
        <v>1101</v>
      </c>
      <c r="P80" s="336">
        <v>6.4000000000000001E-2</v>
      </c>
      <c r="Q80" s="367">
        <v>11</v>
      </c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</row>
    <row r="81" spans="1:51" ht="42" customHeight="1">
      <c r="A81" s="652" t="s">
        <v>1425</v>
      </c>
      <c r="B81" s="653"/>
      <c r="C81" s="653"/>
      <c r="D81" s="653"/>
      <c r="E81" s="653"/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/>
      <c r="Q81" s="796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</row>
    <row r="82" spans="1:51" ht="30" customHeight="1">
      <c r="A82" s="537" t="s">
        <v>167</v>
      </c>
      <c r="B82" s="538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9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</row>
    <row r="83" spans="1:51" ht="15" customHeight="1">
      <c r="A83" s="380" t="s">
        <v>846</v>
      </c>
      <c r="B83" s="235"/>
      <c r="C83" s="353">
        <v>2</v>
      </c>
      <c r="D83" s="220">
        <v>2.5</v>
      </c>
      <c r="E83" s="220"/>
      <c r="F83" s="220"/>
      <c r="G83" s="231"/>
      <c r="H83" s="144">
        <v>535</v>
      </c>
      <c r="I83" s="222">
        <v>39100</v>
      </c>
      <c r="J83" s="160"/>
      <c r="K83" s="145">
        <f>$C$3</f>
        <v>0.27</v>
      </c>
      <c r="L83" s="331">
        <f>SUM(H83-(H83*K83))</f>
        <v>390.54999999999995</v>
      </c>
      <c r="M83" s="8"/>
      <c r="N83" s="331">
        <f>J83*L83</f>
        <v>0</v>
      </c>
      <c r="O83" s="141" t="s">
        <v>889</v>
      </c>
      <c r="P83" s="142">
        <v>8.4000000000000005E-2</v>
      </c>
      <c r="Q83" s="369">
        <v>12.5</v>
      </c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</row>
    <row r="84" spans="1:51" ht="15" customHeight="1">
      <c r="A84" s="380" t="s">
        <v>847</v>
      </c>
      <c r="B84" s="235"/>
      <c r="C84" s="353">
        <v>2.5</v>
      </c>
      <c r="D84" s="220">
        <v>2.8</v>
      </c>
      <c r="E84" s="220"/>
      <c r="F84" s="220"/>
      <c r="G84" s="231"/>
      <c r="H84" s="144">
        <v>565</v>
      </c>
      <c r="I84" s="222">
        <v>41300</v>
      </c>
      <c r="J84" s="160"/>
      <c r="K84" s="145">
        <f t="shared" ref="K84:K86" si="18">$C$3</f>
        <v>0.27</v>
      </c>
      <c r="L84" s="331">
        <f>SUM(H84-(H84*K84))</f>
        <v>412.45</v>
      </c>
      <c r="M84" s="8"/>
      <c r="N84" s="331">
        <f>J84*L84</f>
        <v>0</v>
      </c>
      <c r="O84" s="141" t="s">
        <v>889</v>
      </c>
      <c r="P84" s="142">
        <v>8.4000000000000005E-2</v>
      </c>
      <c r="Q84" s="369">
        <v>12.5</v>
      </c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</row>
    <row r="85" spans="1:51" s="11" customFormat="1" ht="15" customHeight="1">
      <c r="A85" s="380" t="s">
        <v>848</v>
      </c>
      <c r="B85" s="235"/>
      <c r="C85" s="353">
        <v>3.4</v>
      </c>
      <c r="D85" s="220">
        <v>4</v>
      </c>
      <c r="E85" s="220"/>
      <c r="F85" s="220"/>
      <c r="G85" s="231"/>
      <c r="H85" s="144">
        <v>653</v>
      </c>
      <c r="I85" s="222">
        <v>47700</v>
      </c>
      <c r="J85" s="160"/>
      <c r="K85" s="145">
        <f t="shared" si="18"/>
        <v>0.27</v>
      </c>
      <c r="L85" s="331">
        <f t="shared" ref="L85:L86" si="19">SUM(H85-(H85*K85))</f>
        <v>476.69</v>
      </c>
      <c r="M85" s="8"/>
      <c r="N85" s="331">
        <f t="shared" ref="N85:N86" si="20">J85*L85</f>
        <v>0</v>
      </c>
      <c r="O85" s="141" t="s">
        <v>889</v>
      </c>
      <c r="P85" s="142">
        <v>8.4000000000000005E-2</v>
      </c>
      <c r="Q85" s="369">
        <v>12.5</v>
      </c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</row>
    <row r="86" spans="1:51" s="11" customFormat="1" ht="15" customHeight="1">
      <c r="A86" s="380" t="s">
        <v>849</v>
      </c>
      <c r="B86" s="235"/>
      <c r="C86" s="353">
        <v>4.2</v>
      </c>
      <c r="D86" s="220">
        <v>5.4</v>
      </c>
      <c r="E86" s="220"/>
      <c r="F86" s="220"/>
      <c r="G86" s="231"/>
      <c r="H86" s="144">
        <v>747</v>
      </c>
      <c r="I86" s="222">
        <v>54600</v>
      </c>
      <c r="J86" s="160"/>
      <c r="K86" s="145">
        <f t="shared" si="18"/>
        <v>0.27</v>
      </c>
      <c r="L86" s="331">
        <f t="shared" si="19"/>
        <v>545.30999999999995</v>
      </c>
      <c r="M86" s="8"/>
      <c r="N86" s="331">
        <f t="shared" si="20"/>
        <v>0</v>
      </c>
      <c r="O86" s="141" t="s">
        <v>889</v>
      </c>
      <c r="P86" s="142">
        <v>8.4000000000000005E-2</v>
      </c>
      <c r="Q86" s="369">
        <v>12.5</v>
      </c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</row>
    <row r="87" spans="1:51" ht="53.25" customHeight="1">
      <c r="A87" s="652" t="s">
        <v>1426</v>
      </c>
      <c r="B87" s="653"/>
      <c r="C87" s="653"/>
      <c r="D87" s="653"/>
      <c r="E87" s="653"/>
      <c r="F87" s="653"/>
      <c r="G87" s="653"/>
      <c r="H87" s="653"/>
      <c r="I87" s="653"/>
      <c r="J87" s="653"/>
      <c r="K87" s="653"/>
      <c r="L87" s="653"/>
      <c r="M87" s="653"/>
      <c r="N87" s="149"/>
      <c r="O87" s="150"/>
      <c r="P87" s="150"/>
      <c r="Q87" s="399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</row>
    <row r="88" spans="1:51" ht="30" customHeight="1">
      <c r="A88" s="537" t="s">
        <v>159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9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</row>
    <row r="89" spans="1:51" ht="15" customHeight="1">
      <c r="A89" s="530" t="s">
        <v>1427</v>
      </c>
      <c r="B89" s="143" t="s">
        <v>1427</v>
      </c>
      <c r="C89" s="790">
        <v>2</v>
      </c>
      <c r="D89" s="790">
        <v>2.5</v>
      </c>
      <c r="E89" s="535"/>
      <c r="F89" s="535"/>
      <c r="G89" s="792">
        <f>H89+H90</f>
        <v>1083</v>
      </c>
      <c r="H89" s="144">
        <v>1003</v>
      </c>
      <c r="I89" s="532">
        <v>73300</v>
      </c>
      <c r="J89" s="160"/>
      <c r="K89" s="145">
        <f t="shared" ref="K89:K96" si="21">$H$3</f>
        <v>0.35</v>
      </c>
      <c r="L89" s="794">
        <f>M89+M90</f>
        <v>703.95</v>
      </c>
      <c r="M89" s="233">
        <f t="shared" ref="M89:M90" si="22">SUM(H89-(H89*K89))</f>
        <v>651.95000000000005</v>
      </c>
      <c r="N89" s="331">
        <f>J89*M89</f>
        <v>0</v>
      </c>
      <c r="O89" s="141" t="s">
        <v>349</v>
      </c>
      <c r="P89" s="336">
        <v>0.121</v>
      </c>
      <c r="Q89" s="367">
        <v>19</v>
      </c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</row>
    <row r="90" spans="1:51" s="2" customFormat="1" ht="15" customHeight="1">
      <c r="A90" s="531"/>
      <c r="B90" s="143" t="s">
        <v>1272</v>
      </c>
      <c r="C90" s="791"/>
      <c r="D90" s="791"/>
      <c r="E90" s="535"/>
      <c r="F90" s="535"/>
      <c r="G90" s="793"/>
      <c r="H90" s="144">
        <v>80</v>
      </c>
      <c r="I90" s="532"/>
      <c r="J90" s="160"/>
      <c r="K90" s="145">
        <f t="shared" si="21"/>
        <v>0.35</v>
      </c>
      <c r="L90" s="795"/>
      <c r="M90" s="233">
        <f t="shared" si="22"/>
        <v>52</v>
      </c>
      <c r="N90" s="331">
        <f t="shared" ref="N90" si="23">J90*M90</f>
        <v>0</v>
      </c>
      <c r="O90" s="338" t="s">
        <v>1245</v>
      </c>
      <c r="P90" s="336">
        <v>1.7999999999999999E-2</v>
      </c>
      <c r="Q90" s="367">
        <v>4.5</v>
      </c>
      <c r="R90" s="44"/>
      <c r="S90" s="92"/>
      <c r="T90" s="92"/>
      <c r="U90" s="92"/>
      <c r="V90" s="92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</row>
    <row r="91" spans="1:51" s="11" customFormat="1" ht="15" customHeight="1">
      <c r="A91" s="530" t="s">
        <v>1280</v>
      </c>
      <c r="B91" s="143" t="s">
        <v>1427</v>
      </c>
      <c r="C91" s="790">
        <v>2.5</v>
      </c>
      <c r="D91" s="790">
        <v>3.2</v>
      </c>
      <c r="E91" s="535"/>
      <c r="F91" s="535"/>
      <c r="G91" s="792">
        <f>H91+H92</f>
        <v>785</v>
      </c>
      <c r="H91" s="144">
        <v>705</v>
      </c>
      <c r="I91" s="532">
        <v>53200</v>
      </c>
      <c r="J91" s="160"/>
      <c r="K91" s="145">
        <f t="shared" si="21"/>
        <v>0.35</v>
      </c>
      <c r="L91" s="794">
        <f>M91+M92</f>
        <v>510.25</v>
      </c>
      <c r="M91" s="233">
        <f t="shared" ref="M91:M96" si="24">SUM(H91-(H91*K91))</f>
        <v>458.25</v>
      </c>
      <c r="N91" s="331">
        <f>J91*M91</f>
        <v>0</v>
      </c>
      <c r="O91" s="141" t="s">
        <v>349</v>
      </c>
      <c r="P91" s="336">
        <v>0.121</v>
      </c>
      <c r="Q91" s="367">
        <v>19</v>
      </c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</row>
    <row r="92" spans="1:51" s="11" customFormat="1" ht="15" customHeight="1">
      <c r="A92" s="531"/>
      <c r="B92" s="143" t="s">
        <v>1272</v>
      </c>
      <c r="C92" s="791"/>
      <c r="D92" s="791"/>
      <c r="E92" s="535"/>
      <c r="F92" s="535"/>
      <c r="G92" s="793"/>
      <c r="H92" s="144">
        <v>80</v>
      </c>
      <c r="I92" s="532"/>
      <c r="J92" s="160"/>
      <c r="K92" s="145">
        <f t="shared" si="21"/>
        <v>0.35</v>
      </c>
      <c r="L92" s="795"/>
      <c r="M92" s="233">
        <f t="shared" si="24"/>
        <v>52</v>
      </c>
      <c r="N92" s="331">
        <f t="shared" ref="N92" si="25">J92*M92</f>
        <v>0</v>
      </c>
      <c r="O92" s="338" t="s">
        <v>1245</v>
      </c>
      <c r="P92" s="336">
        <v>1.7999999999999999E-2</v>
      </c>
      <c r="Q92" s="367">
        <v>4.5</v>
      </c>
      <c r="R92" s="92"/>
      <c r="S92" s="92"/>
      <c r="T92" s="92"/>
      <c r="U92" s="92"/>
      <c r="V92" s="92"/>
      <c r="W92" s="44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</row>
    <row r="93" spans="1:51" s="11" customFormat="1" ht="15" customHeight="1">
      <c r="A93" s="530" t="s">
        <v>1284</v>
      </c>
      <c r="B93" s="143" t="s">
        <v>1427</v>
      </c>
      <c r="C93" s="790">
        <v>3.5</v>
      </c>
      <c r="D93" s="790">
        <v>4.0999999999999996</v>
      </c>
      <c r="E93" s="535"/>
      <c r="F93" s="535"/>
      <c r="G93" s="792">
        <f>H93+H94</f>
        <v>805</v>
      </c>
      <c r="H93" s="144">
        <v>725</v>
      </c>
      <c r="I93" s="532">
        <v>54600</v>
      </c>
      <c r="J93" s="160"/>
      <c r="K93" s="145">
        <f t="shared" si="21"/>
        <v>0.35</v>
      </c>
      <c r="L93" s="794">
        <f>M93+M94</f>
        <v>523.25</v>
      </c>
      <c r="M93" s="233">
        <f t="shared" si="24"/>
        <v>471.25</v>
      </c>
      <c r="N93" s="331">
        <f>J93*M93</f>
        <v>0</v>
      </c>
      <c r="O93" s="141" t="s">
        <v>349</v>
      </c>
      <c r="P93" s="336">
        <v>0.121</v>
      </c>
      <c r="Q93" s="367">
        <v>19</v>
      </c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</row>
    <row r="94" spans="1:51" s="11" customFormat="1" ht="15" customHeight="1">
      <c r="A94" s="531"/>
      <c r="B94" s="143" t="s">
        <v>1272</v>
      </c>
      <c r="C94" s="791"/>
      <c r="D94" s="791"/>
      <c r="E94" s="535"/>
      <c r="F94" s="535"/>
      <c r="G94" s="793"/>
      <c r="H94" s="144">
        <v>80</v>
      </c>
      <c r="I94" s="532"/>
      <c r="J94" s="160"/>
      <c r="K94" s="145">
        <f t="shared" si="21"/>
        <v>0.35</v>
      </c>
      <c r="L94" s="795"/>
      <c r="M94" s="233">
        <f t="shared" si="24"/>
        <v>52</v>
      </c>
      <c r="N94" s="331">
        <f t="shared" ref="N94" si="26">J94*M94</f>
        <v>0</v>
      </c>
      <c r="O94" s="338" t="s">
        <v>1245</v>
      </c>
      <c r="P94" s="336">
        <v>1.7999999999999999E-2</v>
      </c>
      <c r="Q94" s="367">
        <v>4.5</v>
      </c>
      <c r="R94" s="92"/>
      <c r="S94" s="92"/>
      <c r="T94" s="92"/>
      <c r="U94" s="92"/>
      <c r="V94" s="92"/>
      <c r="W94" s="44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</row>
    <row r="95" spans="1:51" s="11" customFormat="1" ht="15" customHeight="1">
      <c r="A95" s="530" t="s">
        <v>1285</v>
      </c>
      <c r="B95" s="143" t="s">
        <v>1427</v>
      </c>
      <c r="C95" s="790">
        <v>4.3</v>
      </c>
      <c r="D95" s="790">
        <v>5</v>
      </c>
      <c r="E95" s="535"/>
      <c r="F95" s="535"/>
      <c r="G95" s="792">
        <f>H95+H96</f>
        <v>988</v>
      </c>
      <c r="H95" s="144">
        <v>908</v>
      </c>
      <c r="I95" s="532">
        <v>66900</v>
      </c>
      <c r="J95" s="160"/>
      <c r="K95" s="145">
        <f t="shared" si="21"/>
        <v>0.35</v>
      </c>
      <c r="L95" s="794">
        <f>M95+M96</f>
        <v>642.20000000000005</v>
      </c>
      <c r="M95" s="233">
        <f t="shared" si="24"/>
        <v>590.20000000000005</v>
      </c>
      <c r="N95" s="331">
        <f>J95*M95</f>
        <v>0</v>
      </c>
      <c r="O95" s="141" t="s">
        <v>349</v>
      </c>
      <c r="P95" s="336">
        <v>0.121</v>
      </c>
      <c r="Q95" s="367">
        <v>19</v>
      </c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</row>
    <row r="96" spans="1:51" s="11" customFormat="1" ht="15" customHeight="1">
      <c r="A96" s="531"/>
      <c r="B96" s="143" t="s">
        <v>1272</v>
      </c>
      <c r="C96" s="791"/>
      <c r="D96" s="791"/>
      <c r="E96" s="535"/>
      <c r="F96" s="535"/>
      <c r="G96" s="793"/>
      <c r="H96" s="144">
        <v>80</v>
      </c>
      <c r="I96" s="532"/>
      <c r="J96" s="160"/>
      <c r="K96" s="145">
        <f t="shared" si="21"/>
        <v>0.35</v>
      </c>
      <c r="L96" s="795"/>
      <c r="M96" s="233">
        <f t="shared" si="24"/>
        <v>52</v>
      </c>
      <c r="N96" s="331">
        <f t="shared" ref="N96" si="27">J96*M96</f>
        <v>0</v>
      </c>
      <c r="O96" s="338" t="s">
        <v>1245</v>
      </c>
      <c r="P96" s="336">
        <v>1.7999999999999999E-2</v>
      </c>
      <c r="Q96" s="367">
        <v>4.5</v>
      </c>
      <c r="R96" s="92"/>
      <c r="S96" s="92"/>
      <c r="T96" s="92"/>
      <c r="U96" s="92"/>
      <c r="V96" s="92"/>
      <c r="W96" s="44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</row>
    <row r="97" spans="1:58" ht="42" customHeight="1">
      <c r="A97" s="652" t="s">
        <v>1437</v>
      </c>
      <c r="B97" s="653"/>
      <c r="C97" s="653"/>
      <c r="D97" s="653"/>
      <c r="E97" s="653"/>
      <c r="F97" s="653"/>
      <c r="G97" s="653"/>
      <c r="H97" s="653"/>
      <c r="I97" s="653"/>
      <c r="J97" s="653"/>
      <c r="K97" s="653"/>
      <c r="L97" s="653"/>
      <c r="M97" s="653"/>
      <c r="N97" s="149"/>
      <c r="O97" s="150"/>
      <c r="P97" s="150"/>
      <c r="Q97" s="399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8" ht="30" customHeight="1">
      <c r="A98" s="537" t="s">
        <v>170</v>
      </c>
      <c r="B98" s="538"/>
      <c r="C98" s="538"/>
      <c r="D98" s="538"/>
      <c r="E98" s="538"/>
      <c r="F98" s="538"/>
      <c r="G98" s="538"/>
      <c r="H98" s="538"/>
      <c r="I98" s="538"/>
      <c r="J98" s="538"/>
      <c r="K98" s="538"/>
      <c r="L98" s="538"/>
      <c r="M98" s="538"/>
      <c r="N98" s="538"/>
      <c r="O98" s="538"/>
      <c r="P98" s="538"/>
      <c r="Q98" s="539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8" ht="14.4" customHeight="1">
      <c r="A99" s="380" t="s">
        <v>1438</v>
      </c>
      <c r="B99" s="235"/>
      <c r="C99" s="353">
        <v>2</v>
      </c>
      <c r="D99" s="220">
        <v>2.5</v>
      </c>
      <c r="E99" s="220"/>
      <c r="F99" s="220"/>
      <c r="G99" s="231"/>
      <c r="H99" s="144">
        <v>833</v>
      </c>
      <c r="I99" s="222">
        <v>56400</v>
      </c>
      <c r="J99" s="160"/>
      <c r="K99" s="145">
        <f>$H$3</f>
        <v>0.35</v>
      </c>
      <c r="L99" s="331">
        <f>SUM(H99-(H99*K99))</f>
        <v>541.45000000000005</v>
      </c>
      <c r="N99" s="331">
        <f>J99*L99</f>
        <v>0</v>
      </c>
      <c r="O99" s="141" t="s">
        <v>344</v>
      </c>
      <c r="P99" s="336">
        <v>0.20200000000000001</v>
      </c>
      <c r="Q99" s="367">
        <v>21</v>
      </c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8" ht="14.4" customHeight="1">
      <c r="A100" s="380" t="s">
        <v>1295</v>
      </c>
      <c r="B100" s="235"/>
      <c r="C100" s="353">
        <v>2.5</v>
      </c>
      <c r="D100" s="220">
        <v>3.2</v>
      </c>
      <c r="E100" s="220"/>
      <c r="F100" s="220"/>
      <c r="G100" s="231"/>
      <c r="H100" s="144">
        <v>759</v>
      </c>
      <c r="I100" s="222">
        <v>51300</v>
      </c>
      <c r="J100" s="160"/>
      <c r="K100" s="145">
        <f>$H$3</f>
        <v>0.35</v>
      </c>
      <c r="L100" s="331">
        <f>SUM(H100-(H100*K100))</f>
        <v>493.35</v>
      </c>
      <c r="N100" s="331">
        <f>J100*L100</f>
        <v>0</v>
      </c>
      <c r="O100" s="141" t="s">
        <v>344</v>
      </c>
      <c r="P100" s="336">
        <v>0.20200000000000001</v>
      </c>
      <c r="Q100" s="370">
        <v>22</v>
      </c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</row>
    <row r="101" spans="1:58" s="11" customFormat="1" ht="14.4" customHeight="1">
      <c r="A101" s="380" t="s">
        <v>1296</v>
      </c>
      <c r="B101" s="235"/>
      <c r="C101" s="353">
        <v>3.5</v>
      </c>
      <c r="D101" s="220">
        <v>4.0999999999999996</v>
      </c>
      <c r="E101" s="220"/>
      <c r="F101" s="220"/>
      <c r="G101" s="231"/>
      <c r="H101" s="144">
        <v>774</v>
      </c>
      <c r="I101" s="222">
        <v>52400</v>
      </c>
      <c r="J101" s="160"/>
      <c r="K101" s="145">
        <f t="shared" ref="K101:K102" si="28">$H$3</f>
        <v>0.35</v>
      </c>
      <c r="L101" s="331">
        <f>SUM(H101-(H101*K101))</f>
        <v>503.1</v>
      </c>
      <c r="N101" s="331">
        <f>J101*L101</f>
        <v>0</v>
      </c>
      <c r="O101" s="141" t="s">
        <v>344</v>
      </c>
      <c r="P101" s="336">
        <v>0.20200000000000001</v>
      </c>
      <c r="Q101" s="370">
        <v>22</v>
      </c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</row>
    <row r="102" spans="1:58" s="11" customFormat="1" ht="14.4" customHeight="1" thickBot="1">
      <c r="A102" s="380" t="s">
        <v>1297</v>
      </c>
      <c r="B102" s="235"/>
      <c r="C102" s="353">
        <v>4.3</v>
      </c>
      <c r="D102" s="220">
        <v>5</v>
      </c>
      <c r="E102" s="220"/>
      <c r="F102" s="220"/>
      <c r="G102" s="231"/>
      <c r="H102" s="144">
        <v>823</v>
      </c>
      <c r="I102" s="222">
        <v>55700</v>
      </c>
      <c r="J102" s="160"/>
      <c r="K102" s="145">
        <f t="shared" si="28"/>
        <v>0.35</v>
      </c>
      <c r="L102" s="331">
        <f>SUM(H102-(H102*K102))</f>
        <v>534.95000000000005</v>
      </c>
      <c r="N102" s="331">
        <f>J102*L102</f>
        <v>0</v>
      </c>
      <c r="O102" s="141" t="s">
        <v>344</v>
      </c>
      <c r="P102" s="336">
        <v>0.20200000000000001</v>
      </c>
      <c r="Q102" s="370">
        <v>22</v>
      </c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</row>
    <row r="103" spans="1:58" ht="30" customHeight="1">
      <c r="A103" s="806" t="s">
        <v>51</v>
      </c>
      <c r="B103" s="807"/>
      <c r="C103" s="807"/>
      <c r="D103" s="807"/>
      <c r="E103" s="807"/>
      <c r="F103" s="807"/>
      <c r="G103" s="807"/>
      <c r="H103" s="807"/>
      <c r="I103" s="807"/>
      <c r="J103" s="807"/>
      <c r="K103" s="807"/>
      <c r="L103" s="807"/>
      <c r="M103" s="807"/>
      <c r="N103" s="119"/>
      <c r="O103" s="120"/>
      <c r="P103" s="120"/>
      <c r="Q103" s="368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</row>
    <row r="104" spans="1:58" ht="69.75" customHeight="1">
      <c r="A104" s="400"/>
      <c r="B104" s="575" t="s">
        <v>365</v>
      </c>
      <c r="C104" s="575"/>
      <c r="D104" s="575"/>
      <c r="E104" s="551" t="s">
        <v>364</v>
      </c>
      <c r="F104" s="575"/>
      <c r="G104" s="575"/>
      <c r="H104" s="172" t="s">
        <v>494</v>
      </c>
      <c r="I104" s="324" t="s">
        <v>740</v>
      </c>
      <c r="J104" s="341" t="s">
        <v>28</v>
      </c>
      <c r="K104" s="341" t="s">
        <v>22</v>
      </c>
      <c r="L104" s="173" t="s">
        <v>490</v>
      </c>
      <c r="M104" s="240"/>
      <c r="N104" s="173" t="s">
        <v>27</v>
      </c>
      <c r="O104" s="551" t="s">
        <v>23</v>
      </c>
      <c r="P104" s="551"/>
      <c r="Q104" s="433" t="s">
        <v>24</v>
      </c>
      <c r="R104" s="92"/>
      <c r="S104" s="92"/>
      <c r="T104" s="92"/>
      <c r="U104" s="92"/>
    </row>
    <row r="105" spans="1:58" s="20" customFormat="1" ht="59.25" customHeight="1">
      <c r="A105" s="380" t="s">
        <v>1428</v>
      </c>
      <c r="B105" s="547" t="s">
        <v>741</v>
      </c>
      <c r="C105" s="547"/>
      <c r="D105" s="547"/>
      <c r="E105" s="548" t="s">
        <v>374</v>
      </c>
      <c r="F105" s="549"/>
      <c r="G105" s="549"/>
      <c r="H105" s="144">
        <v>606</v>
      </c>
      <c r="I105" s="222">
        <v>39400</v>
      </c>
      <c r="J105" s="160"/>
      <c r="K105" s="145">
        <f t="shared" ref="K105:K135" si="29">$H$3</f>
        <v>0.35</v>
      </c>
      <c r="L105" s="331">
        <f t="shared" ref="L105:L135" si="30">SUM(H105-(H105*K105))</f>
        <v>393.9</v>
      </c>
      <c r="M105" s="161"/>
      <c r="N105" s="331">
        <f>J105*L105</f>
        <v>0</v>
      </c>
      <c r="O105" s="545">
        <v>0.11600000000000001</v>
      </c>
      <c r="P105" s="545"/>
      <c r="Q105" s="434">
        <v>13</v>
      </c>
      <c r="R105" s="38"/>
      <c r="S105" s="92"/>
      <c r="T105" s="92"/>
      <c r="U105" s="92"/>
      <c r="V105" s="92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</row>
    <row r="106" spans="1:58" s="20" customFormat="1" ht="59.25" customHeight="1">
      <c r="A106" s="380" t="s">
        <v>1429</v>
      </c>
      <c r="B106" s="547" t="s">
        <v>742</v>
      </c>
      <c r="C106" s="547"/>
      <c r="D106" s="547"/>
      <c r="E106" s="548" t="s">
        <v>374</v>
      </c>
      <c r="F106" s="549"/>
      <c r="G106" s="549"/>
      <c r="H106" s="144">
        <v>653</v>
      </c>
      <c r="I106" s="222">
        <v>42500</v>
      </c>
      <c r="J106" s="160"/>
      <c r="K106" s="145">
        <f t="shared" si="29"/>
        <v>0.35</v>
      </c>
      <c r="L106" s="331">
        <f t="shared" si="30"/>
        <v>424.45000000000005</v>
      </c>
      <c r="M106" s="161"/>
      <c r="N106" s="331">
        <f>J106*L106</f>
        <v>0</v>
      </c>
      <c r="O106" s="545">
        <v>0.11600000000000001</v>
      </c>
      <c r="P106" s="545"/>
      <c r="Q106" s="435">
        <v>13</v>
      </c>
      <c r="R106" s="38"/>
      <c r="S106" s="92"/>
      <c r="T106" s="92"/>
      <c r="U106" s="92"/>
      <c r="V106" s="92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</row>
    <row r="107" spans="1:58" s="20" customFormat="1" ht="59.25" customHeight="1">
      <c r="A107" s="401" t="s">
        <v>1430</v>
      </c>
      <c r="B107" s="547" t="s">
        <v>743</v>
      </c>
      <c r="C107" s="547"/>
      <c r="D107" s="547"/>
      <c r="E107" s="548" t="s">
        <v>744</v>
      </c>
      <c r="F107" s="549"/>
      <c r="G107" s="549"/>
      <c r="H107" s="144">
        <v>137</v>
      </c>
      <c r="I107" s="222">
        <v>9000</v>
      </c>
      <c r="J107" s="160"/>
      <c r="K107" s="145">
        <f t="shared" si="29"/>
        <v>0.35</v>
      </c>
      <c r="L107" s="331">
        <f t="shared" si="30"/>
        <v>89.050000000000011</v>
      </c>
      <c r="M107" s="161"/>
      <c r="N107" s="331">
        <f>J107*L107</f>
        <v>0</v>
      </c>
      <c r="O107" s="545">
        <v>0.16</v>
      </c>
      <c r="P107" s="545"/>
      <c r="Q107" s="435">
        <v>2</v>
      </c>
      <c r="R107" s="38"/>
      <c r="S107" s="92"/>
      <c r="T107" s="92"/>
      <c r="U107" s="92"/>
      <c r="V107" s="92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</row>
    <row r="108" spans="1:58" s="20" customFormat="1" ht="59.25" customHeight="1">
      <c r="A108" s="380" t="s">
        <v>1130</v>
      </c>
      <c r="B108" s="547" t="s">
        <v>451</v>
      </c>
      <c r="C108" s="547"/>
      <c r="D108" s="547"/>
      <c r="E108" s="548" t="s">
        <v>505</v>
      </c>
      <c r="F108" s="549"/>
      <c r="G108" s="549"/>
      <c r="H108" s="354">
        <v>221</v>
      </c>
      <c r="I108" s="222">
        <v>14400</v>
      </c>
      <c r="J108" s="160"/>
      <c r="K108" s="145">
        <f t="shared" si="29"/>
        <v>0.35</v>
      </c>
      <c r="L108" s="331">
        <f t="shared" si="30"/>
        <v>143.65</v>
      </c>
      <c r="M108" s="161"/>
      <c r="N108" s="331">
        <f>J108*L108</f>
        <v>0</v>
      </c>
      <c r="O108" s="546">
        <v>4.0000000000000001E-3</v>
      </c>
      <c r="P108" s="546"/>
      <c r="Q108" s="367">
        <v>2</v>
      </c>
      <c r="R108" s="38"/>
      <c r="S108" s="92"/>
      <c r="T108" s="92"/>
      <c r="U108" s="92"/>
      <c r="V108" s="92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</row>
    <row r="109" spans="1:58" s="20" customFormat="1" ht="57.75" customHeight="1">
      <c r="A109" s="380" t="s">
        <v>1131</v>
      </c>
      <c r="B109" s="547" t="s">
        <v>489</v>
      </c>
      <c r="C109" s="547"/>
      <c r="D109" s="547"/>
      <c r="E109" s="548" t="s">
        <v>505</v>
      </c>
      <c r="F109" s="549"/>
      <c r="G109" s="549"/>
      <c r="H109" s="354">
        <v>169</v>
      </c>
      <c r="I109" s="222">
        <v>11000</v>
      </c>
      <c r="J109" s="160"/>
      <c r="K109" s="145">
        <f t="shared" si="29"/>
        <v>0.35</v>
      </c>
      <c r="L109" s="331">
        <f t="shared" si="30"/>
        <v>109.85</v>
      </c>
      <c r="M109" s="161"/>
      <c r="N109" s="331">
        <f>J109*L109</f>
        <v>0</v>
      </c>
      <c r="O109" s="546">
        <v>1.7999999999999999E-2</v>
      </c>
      <c r="P109" s="546"/>
      <c r="Q109" s="367">
        <v>0.9</v>
      </c>
      <c r="R109" s="38"/>
      <c r="S109" s="92"/>
      <c r="T109" s="92"/>
      <c r="U109" s="92"/>
      <c r="V109" s="92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</row>
    <row r="110" spans="1:58" s="5" customFormat="1" ht="42.75" customHeight="1">
      <c r="A110" s="380" t="s">
        <v>1140</v>
      </c>
      <c r="B110" s="547" t="s">
        <v>399</v>
      </c>
      <c r="C110" s="547"/>
      <c r="D110" s="547"/>
      <c r="E110" s="548" t="s">
        <v>505</v>
      </c>
      <c r="F110" s="549"/>
      <c r="G110" s="549"/>
      <c r="H110" s="354">
        <v>156</v>
      </c>
      <c r="I110" s="222">
        <v>10200</v>
      </c>
      <c r="J110" s="160"/>
      <c r="K110" s="145">
        <f t="shared" si="29"/>
        <v>0.35</v>
      </c>
      <c r="L110" s="331">
        <f t="shared" si="30"/>
        <v>101.4</v>
      </c>
      <c r="M110" s="161"/>
      <c r="N110" s="331">
        <f>L110*J110</f>
        <v>0</v>
      </c>
      <c r="O110" s="546">
        <v>1.7999999999999999E-2</v>
      </c>
      <c r="P110" s="546"/>
      <c r="Q110" s="381">
        <v>0.98</v>
      </c>
      <c r="R110" s="38"/>
      <c r="S110" s="92"/>
      <c r="T110" s="92"/>
      <c r="U110" s="92"/>
      <c r="V110" s="92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</row>
    <row r="111" spans="1:58" s="5" customFormat="1" ht="54" customHeight="1">
      <c r="A111" s="402" t="s">
        <v>1385</v>
      </c>
      <c r="B111" s="547" t="s">
        <v>677</v>
      </c>
      <c r="C111" s="547"/>
      <c r="D111" s="547"/>
      <c r="E111" s="547" t="s">
        <v>707</v>
      </c>
      <c r="F111" s="547"/>
      <c r="G111" s="547"/>
      <c r="H111" s="144">
        <v>216</v>
      </c>
      <c r="I111" s="222">
        <v>14100</v>
      </c>
      <c r="J111" s="160"/>
      <c r="K111" s="145">
        <f t="shared" si="29"/>
        <v>0.35</v>
      </c>
      <c r="L111" s="331">
        <f t="shared" si="30"/>
        <v>140.4</v>
      </c>
      <c r="M111" s="161"/>
      <c r="N111" s="331">
        <f t="shared" ref="N111:N119" si="31">L111*J111</f>
        <v>0</v>
      </c>
      <c r="O111" s="546">
        <v>2.5000000000000001E-2</v>
      </c>
      <c r="P111" s="546"/>
      <c r="Q111" s="381">
        <v>3</v>
      </c>
      <c r="R111" s="38"/>
      <c r="S111" s="92"/>
      <c r="T111" s="92"/>
      <c r="U111" s="92"/>
      <c r="V111" s="92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</row>
    <row r="112" spans="1:58" s="5" customFormat="1" ht="54" customHeight="1">
      <c r="A112" s="402" t="s">
        <v>1386</v>
      </c>
      <c r="B112" s="547" t="s">
        <v>678</v>
      </c>
      <c r="C112" s="547"/>
      <c r="D112" s="547"/>
      <c r="E112" s="547" t="s">
        <v>69</v>
      </c>
      <c r="F112" s="547"/>
      <c r="G112" s="547"/>
      <c r="H112" s="144">
        <v>232</v>
      </c>
      <c r="I112" s="222">
        <v>15100</v>
      </c>
      <c r="J112" s="160"/>
      <c r="K112" s="145">
        <f t="shared" si="29"/>
        <v>0.35</v>
      </c>
      <c r="L112" s="331">
        <f t="shared" si="30"/>
        <v>150.80000000000001</v>
      </c>
      <c r="M112" s="161"/>
      <c r="N112" s="331">
        <f t="shared" si="31"/>
        <v>0</v>
      </c>
      <c r="O112" s="546">
        <v>3.1E-2</v>
      </c>
      <c r="P112" s="546"/>
      <c r="Q112" s="381">
        <v>3.2</v>
      </c>
      <c r="R112" s="38"/>
      <c r="S112" s="92"/>
      <c r="T112" s="92"/>
      <c r="U112" s="92"/>
      <c r="V112" s="92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</row>
    <row r="113" spans="1:58" s="5" customFormat="1" ht="54" customHeight="1">
      <c r="A113" s="402" t="s">
        <v>1431</v>
      </c>
      <c r="B113" s="547" t="s">
        <v>679</v>
      </c>
      <c r="C113" s="547"/>
      <c r="D113" s="547"/>
      <c r="E113" s="547" t="s">
        <v>708</v>
      </c>
      <c r="F113" s="547"/>
      <c r="G113" s="547"/>
      <c r="H113" s="144">
        <v>240</v>
      </c>
      <c r="I113" s="222">
        <v>15600</v>
      </c>
      <c r="J113" s="160"/>
      <c r="K113" s="145">
        <f t="shared" si="29"/>
        <v>0.35</v>
      </c>
      <c r="L113" s="331">
        <f t="shared" si="30"/>
        <v>156</v>
      </c>
      <c r="M113" s="161"/>
      <c r="N113" s="331">
        <f t="shared" si="31"/>
        <v>0</v>
      </c>
      <c r="O113" s="546">
        <v>1.2E-2</v>
      </c>
      <c r="P113" s="546"/>
      <c r="Q113" s="381">
        <v>2.9</v>
      </c>
      <c r="R113" s="38"/>
      <c r="S113" s="92"/>
      <c r="T113" s="92"/>
      <c r="U113" s="92"/>
      <c r="V113" s="92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</row>
    <row r="114" spans="1:58" s="5" customFormat="1" ht="54" customHeight="1">
      <c r="A114" s="402" t="s">
        <v>1135</v>
      </c>
      <c r="B114" s="547" t="s">
        <v>784</v>
      </c>
      <c r="C114" s="547"/>
      <c r="D114" s="547"/>
      <c r="E114" s="547" t="s">
        <v>797</v>
      </c>
      <c r="F114" s="547"/>
      <c r="G114" s="547"/>
      <c r="H114" s="354">
        <v>221</v>
      </c>
      <c r="I114" s="222">
        <v>14400</v>
      </c>
      <c r="J114" s="160"/>
      <c r="K114" s="145">
        <f t="shared" si="29"/>
        <v>0.35</v>
      </c>
      <c r="L114" s="331">
        <f t="shared" si="30"/>
        <v>143.65</v>
      </c>
      <c r="M114" s="161"/>
      <c r="N114" s="331">
        <f t="shared" si="31"/>
        <v>0</v>
      </c>
      <c r="O114" s="546">
        <v>0.02</v>
      </c>
      <c r="P114" s="546"/>
      <c r="Q114" s="381">
        <v>1.1000000000000001</v>
      </c>
      <c r="R114" s="38"/>
      <c r="S114" s="92"/>
      <c r="T114" s="92"/>
      <c r="U114" s="92"/>
      <c r="V114" s="92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</row>
    <row r="115" spans="1:58" s="5" customFormat="1" ht="54" customHeight="1">
      <c r="A115" s="402" t="s">
        <v>1136</v>
      </c>
      <c r="B115" s="547" t="s">
        <v>785</v>
      </c>
      <c r="C115" s="547"/>
      <c r="D115" s="547"/>
      <c r="E115" s="547" t="s">
        <v>797</v>
      </c>
      <c r="F115" s="547"/>
      <c r="G115" s="547"/>
      <c r="H115" s="354">
        <v>333</v>
      </c>
      <c r="I115" s="222">
        <v>21700</v>
      </c>
      <c r="J115" s="160"/>
      <c r="K115" s="145">
        <f t="shared" si="29"/>
        <v>0.35</v>
      </c>
      <c r="L115" s="331">
        <f t="shared" si="30"/>
        <v>216.45</v>
      </c>
      <c r="M115" s="161"/>
      <c r="N115" s="331">
        <f t="shared" si="31"/>
        <v>0</v>
      </c>
      <c r="O115" s="546">
        <v>0.02</v>
      </c>
      <c r="P115" s="546"/>
      <c r="Q115" s="381">
        <v>1.1000000000000001</v>
      </c>
      <c r="R115" s="38"/>
      <c r="S115" s="92"/>
      <c r="T115" s="92"/>
      <c r="U115" s="92"/>
      <c r="V115" s="92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</row>
    <row r="116" spans="1:58" s="5" customFormat="1" ht="39.75" customHeight="1">
      <c r="A116" s="380" t="s">
        <v>1383</v>
      </c>
      <c r="B116" s="547" t="s">
        <v>383</v>
      </c>
      <c r="C116" s="547"/>
      <c r="D116" s="547"/>
      <c r="E116" s="548" t="s">
        <v>786</v>
      </c>
      <c r="F116" s="549"/>
      <c r="G116" s="549"/>
      <c r="H116" s="144">
        <v>377</v>
      </c>
      <c r="I116" s="222">
        <v>24600</v>
      </c>
      <c r="J116" s="160"/>
      <c r="K116" s="145">
        <f t="shared" si="29"/>
        <v>0.35</v>
      </c>
      <c r="L116" s="331">
        <f t="shared" si="30"/>
        <v>245.05</v>
      </c>
      <c r="M116" s="161"/>
      <c r="N116" s="331">
        <f t="shared" si="31"/>
        <v>0</v>
      </c>
      <c r="O116" s="546">
        <v>8.6999999999999994E-2</v>
      </c>
      <c r="P116" s="546"/>
      <c r="Q116" s="381">
        <v>16.399999999999999</v>
      </c>
      <c r="R116" s="38"/>
      <c r="S116" s="92"/>
      <c r="T116" s="92"/>
      <c r="U116" s="92"/>
      <c r="V116" s="92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</row>
    <row r="117" spans="1:58" s="5" customFormat="1" ht="58.5" customHeight="1">
      <c r="A117" s="380" t="s">
        <v>1432</v>
      </c>
      <c r="B117" s="547" t="s">
        <v>21</v>
      </c>
      <c r="C117" s="547"/>
      <c r="D117" s="547"/>
      <c r="E117" s="548" t="s">
        <v>374</v>
      </c>
      <c r="F117" s="549"/>
      <c r="G117" s="549"/>
      <c r="H117" s="144">
        <v>836</v>
      </c>
      <c r="I117" s="222">
        <v>54400</v>
      </c>
      <c r="J117" s="160"/>
      <c r="K117" s="145">
        <f t="shared" si="29"/>
        <v>0.35</v>
      </c>
      <c r="L117" s="331">
        <f t="shared" si="30"/>
        <v>543.40000000000009</v>
      </c>
      <c r="M117" s="184"/>
      <c r="N117" s="331">
        <f t="shared" si="31"/>
        <v>0</v>
      </c>
      <c r="O117" s="546">
        <v>8.6999999999999994E-3</v>
      </c>
      <c r="P117" s="546"/>
      <c r="Q117" s="435">
        <v>2.64</v>
      </c>
      <c r="R117" s="38"/>
      <c r="S117" s="92"/>
      <c r="T117" s="92"/>
      <c r="U117" s="92"/>
      <c r="V117" s="92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</row>
    <row r="118" spans="1:58" s="5" customFormat="1" ht="45" customHeight="1">
      <c r="A118" s="380" t="s">
        <v>1148</v>
      </c>
      <c r="B118" s="547" t="s">
        <v>172</v>
      </c>
      <c r="C118" s="547"/>
      <c r="D118" s="547"/>
      <c r="E118" s="547" t="s">
        <v>392</v>
      </c>
      <c r="F118" s="547"/>
      <c r="G118" s="547"/>
      <c r="H118" s="354">
        <v>85</v>
      </c>
      <c r="I118" s="222">
        <v>5600</v>
      </c>
      <c r="J118" s="160"/>
      <c r="K118" s="145">
        <f t="shared" si="29"/>
        <v>0.35</v>
      </c>
      <c r="L118" s="331">
        <f t="shared" si="30"/>
        <v>55.25</v>
      </c>
      <c r="M118" s="156"/>
      <c r="N118" s="331">
        <f t="shared" si="31"/>
        <v>0</v>
      </c>
      <c r="O118" s="546">
        <v>1.4999999999999999E-2</v>
      </c>
      <c r="P118" s="546"/>
      <c r="Q118" s="435">
        <v>1.04</v>
      </c>
      <c r="R118" s="38"/>
      <c r="S118" s="92"/>
      <c r="T118" s="92"/>
      <c r="U118" s="92"/>
      <c r="V118" s="92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</row>
    <row r="119" spans="1:58" s="5" customFormat="1" ht="41.25" customHeight="1">
      <c r="A119" s="380" t="s">
        <v>1433</v>
      </c>
      <c r="B119" s="547" t="s">
        <v>109</v>
      </c>
      <c r="C119" s="547"/>
      <c r="D119" s="547"/>
      <c r="E119" s="548" t="s">
        <v>272</v>
      </c>
      <c r="F119" s="549"/>
      <c r="G119" s="549"/>
      <c r="H119" s="144">
        <v>85</v>
      </c>
      <c r="I119" s="222">
        <v>5600</v>
      </c>
      <c r="J119" s="160"/>
      <c r="K119" s="145">
        <f t="shared" si="29"/>
        <v>0.35</v>
      </c>
      <c r="L119" s="331">
        <f t="shared" si="30"/>
        <v>55.25</v>
      </c>
      <c r="M119" s="184"/>
      <c r="N119" s="331">
        <f t="shared" si="31"/>
        <v>0</v>
      </c>
      <c r="O119" s="546">
        <v>2E-3</v>
      </c>
      <c r="P119" s="546"/>
      <c r="Q119" s="435">
        <v>0.24</v>
      </c>
      <c r="R119" s="38"/>
      <c r="S119" s="92"/>
      <c r="T119" s="92"/>
      <c r="U119" s="92"/>
      <c r="V119" s="92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</row>
    <row r="120" spans="1:58" s="5" customFormat="1" ht="44.25" customHeight="1">
      <c r="A120" s="380" t="s">
        <v>1434</v>
      </c>
      <c r="B120" s="547" t="s">
        <v>815</v>
      </c>
      <c r="C120" s="547"/>
      <c r="D120" s="547"/>
      <c r="E120" s="548" t="s">
        <v>272</v>
      </c>
      <c r="F120" s="549"/>
      <c r="G120" s="549"/>
      <c r="H120" s="144">
        <v>85</v>
      </c>
      <c r="I120" s="222">
        <v>5600</v>
      </c>
      <c r="J120" s="160"/>
      <c r="K120" s="145">
        <f t="shared" si="29"/>
        <v>0.35</v>
      </c>
      <c r="L120" s="331">
        <f t="shared" si="30"/>
        <v>55.25</v>
      </c>
      <c r="M120" s="184"/>
      <c r="N120" s="331">
        <f>J120*L120</f>
        <v>0</v>
      </c>
      <c r="O120" s="546">
        <v>2E-3</v>
      </c>
      <c r="P120" s="546"/>
      <c r="Q120" s="435">
        <v>0.1</v>
      </c>
      <c r="R120" s="38"/>
      <c r="S120" s="92"/>
      <c r="T120" s="92"/>
      <c r="U120" s="92"/>
      <c r="V120" s="92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</row>
    <row r="121" spans="1:58" s="5" customFormat="1" ht="30.75" customHeight="1">
      <c r="A121" s="380" t="s">
        <v>1149</v>
      </c>
      <c r="B121" s="547" t="s">
        <v>109</v>
      </c>
      <c r="C121" s="547"/>
      <c r="D121" s="547"/>
      <c r="E121" s="547" t="s">
        <v>454</v>
      </c>
      <c r="F121" s="547"/>
      <c r="G121" s="547"/>
      <c r="H121" s="354">
        <v>85</v>
      </c>
      <c r="I121" s="222">
        <v>5600</v>
      </c>
      <c r="J121" s="160"/>
      <c r="K121" s="145">
        <f t="shared" si="29"/>
        <v>0.35</v>
      </c>
      <c r="L121" s="331">
        <f t="shared" si="30"/>
        <v>55.25</v>
      </c>
      <c r="M121" s="156"/>
      <c r="N121" s="331">
        <f>L121*J121</f>
        <v>0</v>
      </c>
      <c r="O121" s="546">
        <v>1.6E-2</v>
      </c>
      <c r="P121" s="546"/>
      <c r="Q121" s="435">
        <v>1.23</v>
      </c>
      <c r="R121" s="38"/>
      <c r="S121" s="92"/>
      <c r="T121" s="92"/>
      <c r="U121" s="92"/>
      <c r="V121" s="92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</row>
    <row r="122" spans="1:58" s="5" customFormat="1" ht="48" customHeight="1">
      <c r="A122" s="380" t="s">
        <v>1263</v>
      </c>
      <c r="B122" s="547" t="s">
        <v>15</v>
      </c>
      <c r="C122" s="547"/>
      <c r="D122" s="547"/>
      <c r="E122" s="548" t="s">
        <v>371</v>
      </c>
      <c r="F122" s="549"/>
      <c r="G122" s="549"/>
      <c r="H122" s="144">
        <v>66</v>
      </c>
      <c r="I122" s="222">
        <v>4300</v>
      </c>
      <c r="J122" s="160"/>
      <c r="K122" s="145">
        <f t="shared" si="29"/>
        <v>0.35</v>
      </c>
      <c r="L122" s="331">
        <f t="shared" si="30"/>
        <v>42.900000000000006</v>
      </c>
      <c r="M122" s="184"/>
      <c r="N122" s="331">
        <f>J122*L122</f>
        <v>0</v>
      </c>
      <c r="O122" s="545">
        <v>2E-3</v>
      </c>
      <c r="P122" s="545"/>
      <c r="Q122" s="435">
        <v>0.14000000000000001</v>
      </c>
      <c r="R122" s="38"/>
      <c r="S122" s="92"/>
      <c r="T122" s="92"/>
      <c r="U122" s="92"/>
      <c r="V122" s="92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</row>
    <row r="123" spans="1:58" s="5" customFormat="1" ht="38.25" customHeight="1">
      <c r="A123" s="380" t="s">
        <v>1132</v>
      </c>
      <c r="B123" s="547" t="s">
        <v>7</v>
      </c>
      <c r="C123" s="547"/>
      <c r="D123" s="547"/>
      <c r="E123" s="547" t="s">
        <v>787</v>
      </c>
      <c r="F123" s="547"/>
      <c r="G123" s="547"/>
      <c r="H123" s="354">
        <v>128</v>
      </c>
      <c r="I123" s="222">
        <v>8400</v>
      </c>
      <c r="J123" s="160"/>
      <c r="K123" s="145">
        <f t="shared" si="29"/>
        <v>0.35</v>
      </c>
      <c r="L123" s="331">
        <f t="shared" si="30"/>
        <v>83.2</v>
      </c>
      <c r="M123" s="156"/>
      <c r="N123" s="331">
        <f>L123*J123</f>
        <v>0</v>
      </c>
      <c r="O123" s="545">
        <v>6.0000000000000001E-3</v>
      </c>
      <c r="P123" s="545"/>
      <c r="Q123" s="435">
        <v>0.5</v>
      </c>
      <c r="R123" s="38"/>
      <c r="S123" s="92"/>
      <c r="T123" s="92"/>
      <c r="U123" s="92"/>
      <c r="V123" s="92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</row>
    <row r="124" spans="1:58" s="20" customFormat="1" ht="36" customHeight="1">
      <c r="A124" s="380" t="s">
        <v>1142</v>
      </c>
      <c r="B124" s="547" t="s">
        <v>400</v>
      </c>
      <c r="C124" s="547"/>
      <c r="D124" s="547"/>
      <c r="E124" s="548" t="s">
        <v>788</v>
      </c>
      <c r="F124" s="549"/>
      <c r="G124" s="549"/>
      <c r="H124" s="354">
        <v>210</v>
      </c>
      <c r="I124" s="222">
        <v>13700</v>
      </c>
      <c r="J124" s="160"/>
      <c r="K124" s="145">
        <f t="shared" si="29"/>
        <v>0.35</v>
      </c>
      <c r="L124" s="331">
        <f t="shared" si="30"/>
        <v>136.5</v>
      </c>
      <c r="M124" s="156"/>
      <c r="N124" s="331">
        <f>J124*L124</f>
        <v>0</v>
      </c>
      <c r="O124" s="545">
        <v>0.27</v>
      </c>
      <c r="P124" s="545">
        <f>J124*N124</f>
        <v>0</v>
      </c>
      <c r="Q124" s="435">
        <f>J124*O124</f>
        <v>0</v>
      </c>
      <c r="R124" s="38"/>
      <c r="S124" s="92"/>
      <c r="T124" s="92"/>
      <c r="U124" s="92"/>
      <c r="V124" s="92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</row>
    <row r="125" spans="1:58" s="5" customFormat="1" ht="35.25" customHeight="1">
      <c r="A125" s="382" t="s">
        <v>1144</v>
      </c>
      <c r="B125" s="547" t="s">
        <v>244</v>
      </c>
      <c r="C125" s="547"/>
      <c r="D125" s="547"/>
      <c r="E125" s="547" t="s">
        <v>367</v>
      </c>
      <c r="F125" s="547"/>
      <c r="G125" s="547"/>
      <c r="H125" s="354">
        <v>442</v>
      </c>
      <c r="I125" s="222">
        <v>28800</v>
      </c>
      <c r="J125" s="160"/>
      <c r="K125" s="145">
        <f t="shared" si="29"/>
        <v>0.35</v>
      </c>
      <c r="L125" s="331">
        <f t="shared" si="30"/>
        <v>287.3</v>
      </c>
      <c r="M125" s="156"/>
      <c r="N125" s="331">
        <f>L125*J125</f>
        <v>0</v>
      </c>
      <c r="O125" s="545">
        <v>1.6E-2</v>
      </c>
      <c r="P125" s="545"/>
      <c r="Q125" s="435">
        <v>2</v>
      </c>
      <c r="R125" s="38"/>
      <c r="S125" s="92"/>
      <c r="T125" s="92"/>
      <c r="U125" s="92"/>
      <c r="V125" s="92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</row>
    <row r="126" spans="1:58" s="5" customFormat="1" ht="35.25" customHeight="1">
      <c r="A126" s="380" t="s">
        <v>1145</v>
      </c>
      <c r="B126" s="547" t="s">
        <v>377</v>
      </c>
      <c r="C126" s="547"/>
      <c r="D126" s="547"/>
      <c r="E126" s="547"/>
      <c r="F126" s="547"/>
      <c r="G126" s="547"/>
      <c r="H126" s="354">
        <v>456</v>
      </c>
      <c r="I126" s="222">
        <v>29700</v>
      </c>
      <c r="J126" s="160"/>
      <c r="K126" s="145">
        <f t="shared" si="29"/>
        <v>0.35</v>
      </c>
      <c r="L126" s="331">
        <f t="shared" si="30"/>
        <v>296.39999999999998</v>
      </c>
      <c r="M126" s="156"/>
      <c r="N126" s="331">
        <f>L126*J126</f>
        <v>0</v>
      </c>
      <c r="O126" s="545">
        <v>1.6E-2</v>
      </c>
      <c r="P126" s="545"/>
      <c r="Q126" s="435">
        <v>2</v>
      </c>
      <c r="R126" s="38"/>
      <c r="S126" s="92"/>
      <c r="T126" s="92"/>
      <c r="U126" s="92"/>
      <c r="V126" s="92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</row>
    <row r="127" spans="1:58" s="5" customFormat="1" ht="35.25" customHeight="1">
      <c r="A127" s="380" t="s">
        <v>1146</v>
      </c>
      <c r="B127" s="547" t="s">
        <v>260</v>
      </c>
      <c r="C127" s="547"/>
      <c r="D127" s="547"/>
      <c r="E127" s="547"/>
      <c r="F127" s="547"/>
      <c r="G127" s="547"/>
      <c r="H127" s="144">
        <v>590</v>
      </c>
      <c r="I127" s="222">
        <v>38400</v>
      </c>
      <c r="J127" s="160"/>
      <c r="K127" s="145">
        <f t="shared" si="29"/>
        <v>0.35</v>
      </c>
      <c r="L127" s="331">
        <f t="shared" si="30"/>
        <v>383.5</v>
      </c>
      <c r="M127" s="184"/>
      <c r="N127" s="331">
        <f>L127*J127</f>
        <v>0</v>
      </c>
      <c r="O127" s="545">
        <v>6.0000000000000001E-3</v>
      </c>
      <c r="P127" s="545"/>
      <c r="Q127" s="435">
        <v>0.27</v>
      </c>
      <c r="R127" s="38"/>
      <c r="S127" s="92"/>
      <c r="T127" s="92"/>
      <c r="U127" s="92"/>
      <c r="V127" s="92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</row>
    <row r="128" spans="1:58" s="5" customFormat="1" ht="39" customHeight="1">
      <c r="A128" s="380" t="s">
        <v>1143</v>
      </c>
      <c r="B128" s="547" t="s">
        <v>376</v>
      </c>
      <c r="C128" s="547"/>
      <c r="D128" s="547"/>
      <c r="E128" s="547"/>
      <c r="F128" s="547"/>
      <c r="G128" s="547"/>
      <c r="H128" s="354">
        <v>792</v>
      </c>
      <c r="I128" s="222">
        <v>51500</v>
      </c>
      <c r="J128" s="160"/>
      <c r="K128" s="145">
        <f t="shared" si="29"/>
        <v>0.35</v>
      </c>
      <c r="L128" s="331">
        <f t="shared" si="30"/>
        <v>514.79999999999995</v>
      </c>
      <c r="M128" s="156"/>
      <c r="N128" s="331">
        <f>L128*J128</f>
        <v>0</v>
      </c>
      <c r="O128" s="545">
        <v>1.6E-2</v>
      </c>
      <c r="P128" s="545"/>
      <c r="Q128" s="435">
        <v>2</v>
      </c>
      <c r="R128" s="38"/>
      <c r="S128" s="92"/>
      <c r="T128" s="92"/>
      <c r="U128" s="92"/>
      <c r="V128" s="92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</row>
    <row r="129" spans="1:58" s="5" customFormat="1" ht="40.25" customHeight="1">
      <c r="A129" s="380" t="s">
        <v>1133</v>
      </c>
      <c r="B129" s="547" t="s">
        <v>686</v>
      </c>
      <c r="C129" s="547"/>
      <c r="D129" s="547"/>
      <c r="E129" s="547"/>
      <c r="F129" s="547"/>
      <c r="G129" s="547"/>
      <c r="H129" s="354">
        <v>156</v>
      </c>
      <c r="I129" s="222">
        <v>10200</v>
      </c>
      <c r="J129" s="160"/>
      <c r="K129" s="145">
        <f t="shared" si="29"/>
        <v>0.35</v>
      </c>
      <c r="L129" s="331">
        <f t="shared" si="30"/>
        <v>101.4</v>
      </c>
      <c r="M129" s="156"/>
      <c r="N129" s="331">
        <f>J129*L129</f>
        <v>0</v>
      </c>
      <c r="O129" s="546">
        <v>1.6E-2</v>
      </c>
      <c r="P129" s="546"/>
      <c r="Q129" s="381">
        <v>1.5</v>
      </c>
      <c r="R129" s="438"/>
      <c r="S129" s="92"/>
      <c r="T129" s="92"/>
      <c r="U129" s="92"/>
      <c r="V129" s="92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</row>
    <row r="130" spans="1:58" s="20" customFormat="1" ht="32.25" customHeight="1">
      <c r="A130" s="380" t="s">
        <v>1266</v>
      </c>
      <c r="B130" s="547" t="s">
        <v>151</v>
      </c>
      <c r="C130" s="547"/>
      <c r="D130" s="547"/>
      <c r="E130" s="548" t="s">
        <v>373</v>
      </c>
      <c r="F130" s="548"/>
      <c r="G130" s="548"/>
      <c r="H130" s="144">
        <v>298</v>
      </c>
      <c r="I130" s="222">
        <v>19400</v>
      </c>
      <c r="J130" s="160"/>
      <c r="K130" s="145">
        <f t="shared" si="29"/>
        <v>0.35</v>
      </c>
      <c r="L130" s="331">
        <f t="shared" si="30"/>
        <v>193.7</v>
      </c>
      <c r="M130" s="156"/>
      <c r="N130" s="331">
        <f t="shared" ref="N130:N135" si="32">J130*L130</f>
        <v>0</v>
      </c>
      <c r="O130" s="545">
        <v>2.9000000000000001E-2</v>
      </c>
      <c r="P130" s="545"/>
      <c r="Q130" s="435">
        <v>2</v>
      </c>
      <c r="R130" s="38"/>
      <c r="S130" s="92"/>
      <c r="T130" s="92"/>
      <c r="U130" s="92"/>
      <c r="V130" s="92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</row>
    <row r="131" spans="1:58" s="19" customFormat="1" ht="29.25" customHeight="1">
      <c r="A131" s="380" t="s">
        <v>1435</v>
      </c>
      <c r="B131" s="547" t="s">
        <v>19</v>
      </c>
      <c r="C131" s="547"/>
      <c r="D131" s="547"/>
      <c r="E131" s="548" t="s">
        <v>781</v>
      </c>
      <c r="F131" s="549"/>
      <c r="G131" s="549"/>
      <c r="H131" s="144">
        <v>123</v>
      </c>
      <c r="I131" s="222">
        <v>8000</v>
      </c>
      <c r="J131" s="160"/>
      <c r="K131" s="145">
        <f t="shared" si="29"/>
        <v>0.35</v>
      </c>
      <c r="L131" s="331">
        <f t="shared" si="30"/>
        <v>79.95</v>
      </c>
      <c r="M131" s="156"/>
      <c r="N131" s="331">
        <f t="shared" si="32"/>
        <v>0</v>
      </c>
      <c r="O131" s="545">
        <v>4.7E-2</v>
      </c>
      <c r="P131" s="545"/>
      <c r="Q131" s="435">
        <v>2.38</v>
      </c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</row>
    <row r="132" spans="1:58" s="20" customFormat="1" ht="30.75" customHeight="1">
      <c r="A132" s="380" t="s">
        <v>1268</v>
      </c>
      <c r="B132" s="547" t="s">
        <v>20</v>
      </c>
      <c r="C132" s="547"/>
      <c r="D132" s="547"/>
      <c r="E132" s="548" t="s">
        <v>373</v>
      </c>
      <c r="F132" s="549"/>
      <c r="G132" s="549"/>
      <c r="H132" s="144">
        <v>505</v>
      </c>
      <c r="I132" s="222">
        <v>32900</v>
      </c>
      <c r="J132" s="160"/>
      <c r="K132" s="145">
        <f t="shared" si="29"/>
        <v>0.35</v>
      </c>
      <c r="L132" s="331">
        <f t="shared" si="30"/>
        <v>328.25</v>
      </c>
      <c r="M132" s="156"/>
      <c r="N132" s="331">
        <f t="shared" si="32"/>
        <v>0</v>
      </c>
      <c r="O132" s="545">
        <v>5.0999999999999997E-2</v>
      </c>
      <c r="P132" s="545"/>
      <c r="Q132" s="435">
        <v>5.5</v>
      </c>
      <c r="R132" s="38"/>
      <c r="S132" s="92"/>
      <c r="T132" s="92"/>
      <c r="U132" s="92"/>
      <c r="V132" s="92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</row>
    <row r="133" spans="1:58" s="19" customFormat="1" ht="29.25" customHeight="1">
      <c r="A133" s="380" t="s">
        <v>1150</v>
      </c>
      <c r="B133" s="547" t="s">
        <v>181</v>
      </c>
      <c r="C133" s="547"/>
      <c r="D133" s="547"/>
      <c r="E133" s="548" t="s">
        <v>368</v>
      </c>
      <c r="F133" s="549"/>
      <c r="G133" s="549"/>
      <c r="H133" s="354">
        <v>221</v>
      </c>
      <c r="I133" s="222">
        <v>14400</v>
      </c>
      <c r="J133" s="160"/>
      <c r="K133" s="145">
        <f t="shared" si="29"/>
        <v>0.35</v>
      </c>
      <c r="L133" s="331">
        <f t="shared" si="30"/>
        <v>143.65</v>
      </c>
      <c r="M133" s="156"/>
      <c r="N133" s="331">
        <f t="shared" si="32"/>
        <v>0</v>
      </c>
      <c r="O133" s="545">
        <v>4.0000000000000001E-3</v>
      </c>
      <c r="P133" s="545"/>
      <c r="Q133" s="435">
        <v>0.4</v>
      </c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</row>
    <row r="134" spans="1:58" s="19" customFormat="1" ht="29.25" customHeight="1">
      <c r="A134" s="380" t="s">
        <v>1436</v>
      </c>
      <c r="B134" s="547" t="s">
        <v>801</v>
      </c>
      <c r="C134" s="547"/>
      <c r="D134" s="547"/>
      <c r="E134" s="548"/>
      <c r="F134" s="549"/>
      <c r="G134" s="549"/>
      <c r="H134" s="144">
        <v>137</v>
      </c>
      <c r="I134" s="222">
        <v>9000</v>
      </c>
      <c r="J134" s="160"/>
      <c r="K134" s="145">
        <f t="shared" si="29"/>
        <v>0.35</v>
      </c>
      <c r="L134" s="331">
        <f t="shared" si="30"/>
        <v>89.050000000000011</v>
      </c>
      <c r="M134" s="156"/>
      <c r="N134" s="331">
        <f t="shared" si="32"/>
        <v>0</v>
      </c>
      <c r="O134" s="545">
        <v>2.1999999999999999E-2</v>
      </c>
      <c r="P134" s="545"/>
      <c r="Q134" s="435">
        <v>1.8</v>
      </c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</row>
    <row r="135" spans="1:58" s="5" customFormat="1" ht="32.25" customHeight="1">
      <c r="A135" s="380" t="s">
        <v>1147</v>
      </c>
      <c r="B135" s="547" t="s">
        <v>378</v>
      </c>
      <c r="C135" s="547"/>
      <c r="D135" s="547"/>
      <c r="E135" s="548"/>
      <c r="F135" s="549"/>
      <c r="G135" s="549"/>
      <c r="H135" s="354">
        <v>549</v>
      </c>
      <c r="I135" s="222">
        <v>35700</v>
      </c>
      <c r="J135" s="160"/>
      <c r="K135" s="145">
        <f t="shared" si="29"/>
        <v>0.35</v>
      </c>
      <c r="L135" s="331">
        <f t="shared" si="30"/>
        <v>356.85</v>
      </c>
      <c r="M135" s="184"/>
      <c r="N135" s="331">
        <f t="shared" si="32"/>
        <v>0</v>
      </c>
      <c r="O135" s="545">
        <v>8.9999999999999993E-3</v>
      </c>
      <c r="P135" s="545"/>
      <c r="Q135" s="435">
        <v>0.91</v>
      </c>
      <c r="R135" s="38"/>
      <c r="S135" s="92"/>
      <c r="T135" s="92"/>
      <c r="U135" s="92"/>
      <c r="V135" s="92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</row>
    <row r="136" spans="1:58" s="26" customFormat="1" ht="13.5" customHeight="1">
      <c r="A136" s="410" t="s">
        <v>535</v>
      </c>
      <c r="B136" s="94"/>
      <c r="C136" s="27"/>
      <c r="D136" s="27"/>
      <c r="E136" s="27"/>
      <c r="F136" s="27"/>
      <c r="G136" s="27"/>
      <c r="H136" s="27"/>
      <c r="I136" s="27"/>
      <c r="J136" s="27"/>
      <c r="K136" s="27"/>
      <c r="L136" s="29"/>
      <c r="M136" s="27"/>
      <c r="N136" s="112">
        <f>SUM(N9:N16)+SUM(N19:N24)+SUM(N38:N47)+SUM(N57:N60)+SUM(N105:N135)+SUM(N50:N54)</f>
        <v>0</v>
      </c>
      <c r="O136" s="29"/>
      <c r="P136" s="29"/>
      <c r="Q136" s="436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</row>
    <row r="137" spans="1:58" s="7" customFormat="1" ht="12.5">
      <c r="A137" s="695" t="str">
        <f>'Бытовая серия'!A186:Q186</f>
        <v>www.general-aircond.ru</v>
      </c>
      <c r="B137" s="696"/>
      <c r="C137" s="696"/>
      <c r="D137" s="696"/>
      <c r="E137" s="696"/>
      <c r="F137" s="696"/>
      <c r="G137" s="696"/>
      <c r="H137" s="696"/>
      <c r="I137" s="696"/>
      <c r="J137" s="696"/>
      <c r="K137" s="696"/>
      <c r="L137" s="696"/>
      <c r="M137" s="696"/>
      <c r="N137" s="696"/>
      <c r="O137" s="696"/>
      <c r="P137" s="696"/>
      <c r="Q137" s="69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</row>
    <row r="138" spans="1:58" s="7" customFormat="1" ht="12.5">
      <c r="A138" s="698"/>
      <c r="B138" s="699"/>
      <c r="C138" s="699"/>
      <c r="D138" s="699"/>
      <c r="E138" s="699"/>
      <c r="F138" s="699"/>
      <c r="G138" s="699"/>
      <c r="H138" s="699"/>
      <c r="I138" s="699"/>
      <c r="J138" s="699"/>
      <c r="K138" s="699"/>
      <c r="L138" s="699"/>
      <c r="M138" s="699"/>
      <c r="N138" s="699"/>
      <c r="O138" s="699"/>
      <c r="P138" s="699"/>
      <c r="Q138" s="700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</row>
    <row r="139" spans="1:58" s="7" customFormat="1" ht="12.5">
      <c r="A139" s="701" t="str">
        <f>'Бытовая серия'!A188:Q188</f>
        <v>e-mail: Dealer@profcond.com</v>
      </c>
      <c r="B139" s="702"/>
      <c r="C139" s="702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3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</row>
    <row r="140" spans="1:58" s="7" customFormat="1" ht="12.5">
      <c r="A140" s="690" t="str">
        <f>'Бытовая серия'!A189:Q189</f>
        <v>компания "АЯК-Москва"</v>
      </c>
      <c r="B140" s="650"/>
      <c r="C140" s="650"/>
      <c r="D140" s="650"/>
      <c r="E140" s="650"/>
      <c r="F140" s="650"/>
      <c r="G140" s="650"/>
      <c r="H140" s="650"/>
      <c r="I140" s="650"/>
      <c r="J140" s="650"/>
      <c r="K140" s="650"/>
      <c r="L140" s="650"/>
      <c r="M140" s="650"/>
      <c r="N140" s="650"/>
      <c r="O140" s="650"/>
      <c r="P140" s="650"/>
      <c r="Q140" s="691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</row>
    <row r="141" spans="1:58" s="7" customFormat="1" ht="12.5">
      <c r="A141" s="690" t="str">
        <f>'Бытовая серия'!A190:Q190</f>
        <v>111020, г. Москва, ул. 2-я Синичкина, д. 9А, Бизнес-центр Синица Плаза</v>
      </c>
      <c r="B141" s="650"/>
      <c r="C141" s="650"/>
      <c r="D141" s="650"/>
      <c r="E141" s="650"/>
      <c r="F141" s="650"/>
      <c r="G141" s="650"/>
      <c r="H141" s="650"/>
      <c r="I141" s="650"/>
      <c r="J141" s="650"/>
      <c r="K141" s="650"/>
      <c r="L141" s="650"/>
      <c r="M141" s="650"/>
      <c r="N141" s="650"/>
      <c r="O141" s="650"/>
      <c r="P141" s="650"/>
      <c r="Q141" s="691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</row>
    <row r="142" spans="1:58" s="7" customFormat="1" thickBot="1">
      <c r="A142" s="692" t="str">
        <f>'Бытовая серия'!A191:Q191</f>
        <v>Тел./факс: 8-800-23456-05</v>
      </c>
      <c r="B142" s="693"/>
      <c r="C142" s="693"/>
      <c r="D142" s="693"/>
      <c r="E142" s="693"/>
      <c r="F142" s="693"/>
      <c r="G142" s="693"/>
      <c r="H142" s="693"/>
      <c r="I142" s="693"/>
      <c r="J142" s="693"/>
      <c r="K142" s="693"/>
      <c r="L142" s="693"/>
      <c r="M142" s="693"/>
      <c r="N142" s="693"/>
      <c r="O142" s="693"/>
      <c r="P142" s="693"/>
      <c r="Q142" s="694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</row>
    <row r="143" spans="1:58" s="32" customForma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</row>
    <row r="144" spans="1:58" s="32" customForma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</row>
    <row r="145" spans="1:17" s="32" customForma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s="32" customForma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</row>
    <row r="147" spans="1:17" s="32" customForma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</row>
    <row r="148" spans="1:17" s="32" customForma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</row>
    <row r="149" spans="1:17" s="32" customForma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</row>
    <row r="150" spans="1:17" s="32" customForma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</row>
    <row r="151" spans="1:17" s="32" customForma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</row>
    <row r="152" spans="1:17" s="32" customForma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</row>
    <row r="153" spans="1:17" s="32" customForma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</row>
    <row r="154" spans="1:17" s="32" customForma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</row>
    <row r="155" spans="1:17" s="32" customForma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</row>
    <row r="156" spans="1:17" s="32" customForma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</row>
    <row r="157" spans="1:17" s="32" customForma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</row>
    <row r="158" spans="1:17" s="32" customForma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</row>
    <row r="159" spans="1:17" s="32" customForma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</row>
    <row r="160" spans="1:17" s="32" customForma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</row>
    <row r="161" spans="1:17" s="32" customForma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</row>
    <row r="162" spans="1:17" s="32" customForma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</row>
    <row r="163" spans="1:17" s="32" customForma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</row>
    <row r="164" spans="1:17" s="32" customForma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</row>
    <row r="165" spans="1:17" s="32" customForma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</row>
    <row r="166" spans="1:17" s="32" customForma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</row>
    <row r="167" spans="1:17" s="32" customForma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</row>
    <row r="168" spans="1:17" s="32" customForma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</row>
    <row r="169" spans="1:17" s="32" customForma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</row>
    <row r="170" spans="1:17" s="32" customForma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</row>
    <row r="171" spans="1:17" s="32" customForma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</row>
    <row r="172" spans="1:17" s="32" customForma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</row>
    <row r="173" spans="1:17" s="32" customForma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</row>
    <row r="174" spans="1:17" s="32" customForma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</row>
    <row r="175" spans="1:17" s="32" customForma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</row>
    <row r="176" spans="1:17" s="32" customForma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</row>
    <row r="177" spans="1:17" s="32" customForma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</row>
    <row r="178" spans="1:17" s="32" customForma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</row>
    <row r="179" spans="1:17" s="32" customForma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</row>
    <row r="180" spans="1:17" s="32" customForma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</row>
    <row r="181" spans="1:17" s="32" customForma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</row>
    <row r="182" spans="1:17" s="32" customForma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</row>
    <row r="183" spans="1:17" s="32" customForma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</row>
    <row r="184" spans="1:17" s="32" customForma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</row>
    <row r="185" spans="1:17" s="32" customForma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</row>
    <row r="186" spans="1:17" s="32" customForma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</row>
    <row r="187" spans="1:17" s="32" customForma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</row>
    <row r="188" spans="1:17" s="32" customForma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</row>
    <row r="189" spans="1:17" s="32" customForma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</row>
    <row r="190" spans="1:17" s="32" customForma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</row>
    <row r="191" spans="1:17" s="32" customForma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</row>
    <row r="192" spans="1:17" s="32" customForma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</row>
    <row r="193" spans="1:17" s="32" customForma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</row>
    <row r="194" spans="1:17" s="32" customForma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</row>
    <row r="195" spans="1:17" s="32" customForma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</row>
    <row r="196" spans="1:17" s="32" customForma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</row>
    <row r="197" spans="1:17" s="32" customForma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s="32" customForma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</row>
    <row r="199" spans="1:17" s="32" customForma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</row>
    <row r="200" spans="1:17" s="32" customForma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</row>
    <row r="201" spans="1:17" s="32" customForma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</row>
    <row r="202" spans="1:17" s="32" customForma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</row>
    <row r="203" spans="1:17" s="32" customForma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</row>
    <row r="204" spans="1:17" s="32" customForma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</row>
    <row r="205" spans="1:17" s="32" customForma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</row>
    <row r="206" spans="1:17" s="32" customForma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s="32" customForma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</row>
    <row r="208" spans="1:17" s="32" customForma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</row>
    <row r="209" spans="1:17" s="32" customForma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</row>
    <row r="210" spans="1:17" s="32" customForma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</row>
    <row r="211" spans="1:17" s="32" customForma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</row>
    <row r="212" spans="1:17" s="32" customForma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</row>
    <row r="213" spans="1:17" s="32" customForma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</row>
    <row r="214" spans="1:17" s="32" customForma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</row>
    <row r="215" spans="1:17" s="32" customForma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</row>
    <row r="216" spans="1:17" s="32" customForma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</row>
    <row r="217" spans="1:17" s="32" customForma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</row>
    <row r="218" spans="1:17" s="32" customForma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</row>
    <row r="219" spans="1:17" s="32" customForma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</row>
    <row r="220" spans="1:17" s="32" customForma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</row>
    <row r="221" spans="1:17" s="32" customForma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</row>
    <row r="222" spans="1:17" s="32" customForma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</row>
    <row r="223" spans="1:17" s="32" customForma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</row>
    <row r="224" spans="1:17" s="32" customForma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</row>
    <row r="225" spans="1:17" s="32" customForma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</row>
    <row r="226" spans="1:17" s="32" customForma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</row>
    <row r="227" spans="1:17" s="32" customForma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</row>
    <row r="228" spans="1:17" s="32" customForma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</row>
    <row r="229" spans="1:17" s="32" customForma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7" s="32" customForma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</row>
    <row r="231" spans="1:17" s="32" customForma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</row>
    <row r="232" spans="1:17" s="32" customForma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</row>
    <row r="233" spans="1:17" s="32" customForma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</row>
    <row r="234" spans="1:17" s="32" customForma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</row>
    <row r="235" spans="1:17" s="32" customForma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</row>
    <row r="236" spans="1:17" s="32" customForma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</row>
    <row r="237" spans="1:17" s="32" customForma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</row>
    <row r="238" spans="1:17" s="32" customForma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</row>
    <row r="239" spans="1:17" s="32" customForma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</row>
    <row r="240" spans="1:17" s="32" customForma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</row>
    <row r="241" spans="1:17" s="32" customForma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</row>
    <row r="242" spans="1:17" s="32" customForma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</row>
    <row r="243" spans="1:17" s="32" customForma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</row>
    <row r="244" spans="1:17" s="32" customForma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</row>
    <row r="245" spans="1:17" s="32" customForma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</row>
    <row r="246" spans="1:17" s="32" customForma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</row>
    <row r="247" spans="1:17" s="32" customForma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</row>
    <row r="248" spans="1:17" s="32" customForma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</row>
    <row r="249" spans="1:17" s="32" customForma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</row>
    <row r="250" spans="1:17" s="32" customForma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</row>
    <row r="251" spans="1:17" s="32" customForma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</row>
    <row r="252" spans="1:17" s="32" customForma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</row>
    <row r="253" spans="1:17" s="32" customForma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</row>
    <row r="254" spans="1:17" s="32" customForma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</row>
    <row r="255" spans="1:17" s="32" customForma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7" s="32" customForma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</row>
    <row r="257" spans="1:17" s="32" customForma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</row>
    <row r="258" spans="1:17" s="32" customForma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</row>
    <row r="259" spans="1:17" s="32" customForma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</row>
    <row r="260" spans="1:17" s="32" customForma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</row>
    <row r="261" spans="1:17" s="32" customForma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</row>
    <row r="262" spans="1:17" s="32" customForma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</row>
    <row r="263" spans="1:17" s="32" customForma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</row>
    <row r="264" spans="1:17" s="32" customForma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</row>
    <row r="265" spans="1:17" s="32" customForma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</row>
    <row r="266" spans="1:17" s="32" customForma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</row>
    <row r="267" spans="1:17" s="32" customForma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</row>
    <row r="268" spans="1:17" s="32" customForma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</row>
    <row r="269" spans="1:17" s="32" customForma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</row>
    <row r="270" spans="1:17" s="32" customForma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</row>
    <row r="271" spans="1:17" s="32" customForma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</row>
    <row r="272" spans="1:17" s="32" customForma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</row>
    <row r="273" spans="1:17" s="32" customForma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</row>
    <row r="274" spans="1:17" s="32" customForma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</row>
    <row r="275" spans="1:17" s="32" customForma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</row>
    <row r="276" spans="1:17" s="32" customForma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</row>
    <row r="277" spans="1:17" s="32" customForma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</row>
    <row r="278" spans="1:17" s="32" customForma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</row>
    <row r="279" spans="1:17" s="32" customForma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</row>
    <row r="280" spans="1:17" s="32" customForma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</row>
    <row r="281" spans="1:17" s="32" customForma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</row>
    <row r="282" spans="1:17" s="32" customForma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</row>
    <row r="283" spans="1:17" s="32" customForma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</row>
    <row r="284" spans="1:17" s="32" customForma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</row>
    <row r="285" spans="1:17" s="32" customForma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</row>
    <row r="286" spans="1:17" s="32" customForma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</row>
    <row r="287" spans="1:17" s="32" customForma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</row>
    <row r="288" spans="1:17" s="32" customForma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</row>
    <row r="289" spans="1:17" s="32" customForma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</row>
    <row r="290" spans="1:17" s="32" customForma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</row>
    <row r="291" spans="1:17" s="32" customForma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</row>
    <row r="292" spans="1:17" s="32" customForma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</row>
    <row r="293" spans="1:17" s="32" customForma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</row>
    <row r="294" spans="1:17" s="32" customForma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</row>
    <row r="295" spans="1:17" s="32" customForma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</row>
    <row r="296" spans="1:17" s="32" customForma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</row>
    <row r="297" spans="1:17" s="32" customForma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</row>
    <row r="298" spans="1:17" s="32" customForma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</row>
    <row r="299" spans="1:17" s="32" customForma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</row>
    <row r="300" spans="1:17" s="32" customForma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</row>
    <row r="301" spans="1:17" s="32" customForma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</row>
    <row r="302" spans="1:17" s="32" customForma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</row>
    <row r="303" spans="1:17" s="32" customForma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</row>
    <row r="304" spans="1:17" s="32" customForma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</row>
    <row r="305" spans="1:17" s="32" customForma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</row>
    <row r="306" spans="1:17" s="32" customForma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</row>
    <row r="307" spans="1:17" s="32" customForma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</row>
    <row r="308" spans="1:17" s="32" customForma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</row>
    <row r="309" spans="1:17" s="32" customForma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</row>
    <row r="310" spans="1:17" s="32" customForma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</row>
    <row r="311" spans="1:17" s="32" customForma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</row>
    <row r="312" spans="1:17" s="32" customForma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</row>
    <row r="313" spans="1:17" s="32" customForma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</row>
    <row r="314" spans="1:17" s="32" customForma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</row>
    <row r="315" spans="1:17" s="32" customForma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</row>
    <row r="316" spans="1:17" s="32" customForma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</row>
    <row r="317" spans="1:17" s="32" customForma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</row>
    <row r="318" spans="1:17" s="32" customForma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</row>
    <row r="319" spans="1:17" s="32" customForma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</row>
    <row r="320" spans="1:17" s="32" customForma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</row>
    <row r="321" spans="1:17" s="32" customForma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</row>
    <row r="322" spans="1:17" s="32" customForma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</row>
    <row r="323" spans="1:17" s="32" customForma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</row>
    <row r="324" spans="1:17" s="32" customForma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</row>
    <row r="325" spans="1:17" s="32" customForma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</row>
    <row r="326" spans="1:17" s="32" customForma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</row>
    <row r="327" spans="1:17" s="32" customForma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</row>
    <row r="328" spans="1:17" s="32" customForma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</row>
    <row r="329" spans="1:17" s="32" customForma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</row>
    <row r="330" spans="1:17" s="32" customForma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</row>
    <row r="331" spans="1:17" s="32" customForma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</row>
    <row r="332" spans="1:17" s="32" customForma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</row>
    <row r="333" spans="1:17" s="32" customForma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</row>
    <row r="334" spans="1:17" s="32" customForma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</row>
    <row r="335" spans="1:17" s="32" customForma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</row>
    <row r="336" spans="1:17" s="32" customForma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</row>
    <row r="337" spans="1:17" s="32" customForma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</row>
    <row r="338" spans="1:17" s="32" customForma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</row>
    <row r="339" spans="1:17" s="32" customForma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</row>
    <row r="340" spans="1:17" s="32" customForma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</row>
    <row r="341" spans="1:17" s="32" customForma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</row>
    <row r="342" spans="1:17" s="32" customForma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</row>
    <row r="343" spans="1:17" s="32" customForma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</row>
    <row r="344" spans="1:17" s="32" customForma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</row>
    <row r="345" spans="1:17" s="32" customForma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</row>
    <row r="346" spans="1:17" s="32" customForma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</row>
    <row r="347" spans="1:17" s="32" customForma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</row>
    <row r="348" spans="1:17" s="32" customForma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</row>
    <row r="349" spans="1:17" s="32" customForma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</row>
    <row r="350" spans="1:17" s="32" customForma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</row>
    <row r="351" spans="1:17" s="32" customForma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</row>
    <row r="352" spans="1:17" s="32" customForma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</row>
  </sheetData>
  <customSheetViews>
    <customSheetView guid="{FA833650-9147-48FF-9246-B3943D91CD8D}" scale="70" showPageBreaks="1" fitToPage="1" printArea="1" hiddenColumns="1" view="pageBreakPreview">
      <pane ySplit="11" topLeftCell="A90" activePane="bottomLeft" state="frozen"/>
      <selection pane="bottomLeft" activeCell="P113" sqref="P113"/>
      <pageMargins left="0.39370078740157483" right="0.39370078740157483" top="0.39370078740157483" bottom="0.39370078740157483" header="0.51181102362204722" footer="0.51181102362204722"/>
      <pageSetup paperSize="9" scale="40" fitToHeight="5" orientation="portrait" r:id="rId1"/>
      <headerFooter alignWithMargins="0"/>
    </customSheetView>
  </customSheetViews>
  <mergeCells count="215">
    <mergeCell ref="E119:G119"/>
    <mergeCell ref="E112:G112"/>
    <mergeCell ref="E113:G113"/>
    <mergeCell ref="E114:G114"/>
    <mergeCell ref="E115:G115"/>
    <mergeCell ref="E116:G116"/>
    <mergeCell ref="E117:G117"/>
    <mergeCell ref="O109:P109"/>
    <mergeCell ref="O105:P105"/>
    <mergeCell ref="O106:P106"/>
    <mergeCell ref="O107:P107"/>
    <mergeCell ref="B105:D105"/>
    <mergeCell ref="E105:G105"/>
    <mergeCell ref="B106:D106"/>
    <mergeCell ref="E106:G106"/>
    <mergeCell ref="B107:D107"/>
    <mergeCell ref="E107:G107"/>
    <mergeCell ref="O116:P116"/>
    <mergeCell ref="O117:P117"/>
    <mergeCell ref="B125:D125"/>
    <mergeCell ref="B119:D119"/>
    <mergeCell ref="B120:D120"/>
    <mergeCell ref="O118:P118"/>
    <mergeCell ref="O119:P119"/>
    <mergeCell ref="O113:P113"/>
    <mergeCell ref="O114:P114"/>
    <mergeCell ref="O115:P115"/>
    <mergeCell ref="E111:G111"/>
    <mergeCell ref="O108:P108"/>
    <mergeCell ref="O111:P111"/>
    <mergeCell ref="E109:G109"/>
    <mergeCell ref="O110:P110"/>
    <mergeCell ref="B112:D112"/>
    <mergeCell ref="B113:D113"/>
    <mergeCell ref="B114:D114"/>
    <mergeCell ref="B126:D126"/>
    <mergeCell ref="B127:D127"/>
    <mergeCell ref="B128:D128"/>
    <mergeCell ref="B130:D130"/>
    <mergeCell ref="B131:D131"/>
    <mergeCell ref="B132:D132"/>
    <mergeCell ref="O123:P123"/>
    <mergeCell ref="E132:G132"/>
    <mergeCell ref="E121:G121"/>
    <mergeCell ref="O124:P124"/>
    <mergeCell ref="B122:D122"/>
    <mergeCell ref="B123:D123"/>
    <mergeCell ref="B124:D124"/>
    <mergeCell ref="B121:D121"/>
    <mergeCell ref="O129:P129"/>
    <mergeCell ref="E125:G129"/>
    <mergeCell ref="O122:P122"/>
    <mergeCell ref="B133:D133"/>
    <mergeCell ref="E131:G131"/>
    <mergeCell ref="E130:G130"/>
    <mergeCell ref="B129:D129"/>
    <mergeCell ref="B135:D135"/>
    <mergeCell ref="B1:B2"/>
    <mergeCell ref="O127:P127"/>
    <mergeCell ref="E135:G135"/>
    <mergeCell ref="O121:P121"/>
    <mergeCell ref="E120:G120"/>
    <mergeCell ref="O120:P120"/>
    <mergeCell ref="E122:G122"/>
    <mergeCell ref="E124:G124"/>
    <mergeCell ref="E123:G123"/>
    <mergeCell ref="O125:P125"/>
    <mergeCell ref="O128:P128"/>
    <mergeCell ref="O126:P126"/>
    <mergeCell ref="E133:G133"/>
    <mergeCell ref="O133:P133"/>
    <mergeCell ref="O130:P130"/>
    <mergeCell ref="O131:P131"/>
    <mergeCell ref="O132:P132"/>
    <mergeCell ref="O135:P135"/>
    <mergeCell ref="E110:G110"/>
    <mergeCell ref="B115:D115"/>
    <mergeCell ref="O112:P112"/>
    <mergeCell ref="E108:G108"/>
    <mergeCell ref="A103:M103"/>
    <mergeCell ref="A61:M61"/>
    <mergeCell ref="A62:Q62"/>
    <mergeCell ref="A65:Q65"/>
    <mergeCell ref="A66:Q66"/>
    <mergeCell ref="A71:Q71"/>
    <mergeCell ref="A72:Q72"/>
    <mergeCell ref="A81:Q81"/>
    <mergeCell ref="A82:Q82"/>
    <mergeCell ref="E89:E90"/>
    <mergeCell ref="F89:F90"/>
    <mergeCell ref="G89:G90"/>
    <mergeCell ref="I89:I90"/>
    <mergeCell ref="L89:L90"/>
    <mergeCell ref="A91:A92"/>
    <mergeCell ref="C91:C92"/>
    <mergeCell ref="D91:D92"/>
    <mergeCell ref="E91:E92"/>
    <mergeCell ref="F91:F92"/>
    <mergeCell ref="G91:G92"/>
    <mergeCell ref="I91:I92"/>
    <mergeCell ref="L3:M3"/>
    <mergeCell ref="O3:P3"/>
    <mergeCell ref="F38:F39"/>
    <mergeCell ref="G38:G39"/>
    <mergeCell ref="A37:Q37"/>
    <mergeCell ref="E38:E39"/>
    <mergeCell ref="D38:D39"/>
    <mergeCell ref="C38:C39"/>
    <mergeCell ref="L38:L39"/>
    <mergeCell ref="A8:Q8"/>
    <mergeCell ref="C5:D5"/>
    <mergeCell ref="A7:M7"/>
    <mergeCell ref="K5:K6"/>
    <mergeCell ref="L5:L6"/>
    <mergeCell ref="N5:N6"/>
    <mergeCell ref="O5:O6"/>
    <mergeCell ref="P5:P6"/>
    <mergeCell ref="Q5:Q6"/>
    <mergeCell ref="B5:B6"/>
    <mergeCell ref="E5:F5"/>
    <mergeCell ref="A17:Q17"/>
    <mergeCell ref="M5:M6"/>
    <mergeCell ref="A142:Q142"/>
    <mergeCell ref="A137:Q137"/>
    <mergeCell ref="A138:Q138"/>
    <mergeCell ref="A139:Q139"/>
    <mergeCell ref="A140:Q140"/>
    <mergeCell ref="A141:Q141"/>
    <mergeCell ref="G44:G45"/>
    <mergeCell ref="L44:L45"/>
    <mergeCell ref="G42:G43"/>
    <mergeCell ref="C42:C43"/>
    <mergeCell ref="D42:D43"/>
    <mergeCell ref="F46:F47"/>
    <mergeCell ref="L42:L43"/>
    <mergeCell ref="B108:D108"/>
    <mergeCell ref="B109:D109"/>
    <mergeCell ref="B110:D110"/>
    <mergeCell ref="B111:D111"/>
    <mergeCell ref="B118:D118"/>
    <mergeCell ref="B116:D116"/>
    <mergeCell ref="B117:D117"/>
    <mergeCell ref="E118:G118"/>
    <mergeCell ref="B134:D134"/>
    <mergeCell ref="L91:L92"/>
    <mergeCell ref="A93:A94"/>
    <mergeCell ref="E134:G134"/>
    <mergeCell ref="O134:P134"/>
    <mergeCell ref="B104:D104"/>
    <mergeCell ref="E104:G104"/>
    <mergeCell ref="A26:Q26"/>
    <mergeCell ref="A40:A41"/>
    <mergeCell ref="D40:D41"/>
    <mergeCell ref="G40:G41"/>
    <mergeCell ref="L46:L47"/>
    <mergeCell ref="G46:G47"/>
    <mergeCell ref="A38:A39"/>
    <mergeCell ref="A31:M31"/>
    <mergeCell ref="A32:Q32"/>
    <mergeCell ref="O104:P104"/>
    <mergeCell ref="D46:D47"/>
    <mergeCell ref="C44:C45"/>
    <mergeCell ref="A42:A43"/>
    <mergeCell ref="F44:F45"/>
    <mergeCell ref="E42:E43"/>
    <mergeCell ref="A46:A47"/>
    <mergeCell ref="A56:Q56"/>
    <mergeCell ref="A87:M87"/>
    <mergeCell ref="A88:Q88"/>
    <mergeCell ref="A89:A90"/>
    <mergeCell ref="H5:H6"/>
    <mergeCell ref="I5:I6"/>
    <mergeCell ref="J5:J6"/>
    <mergeCell ref="A49:Q49"/>
    <mergeCell ref="A48:M48"/>
    <mergeCell ref="A55:M55"/>
    <mergeCell ref="A44:A45"/>
    <mergeCell ref="E44:E45"/>
    <mergeCell ref="I44:I45"/>
    <mergeCell ref="C40:C41"/>
    <mergeCell ref="D44:D45"/>
    <mergeCell ref="I38:I39"/>
    <mergeCell ref="A18:Q18"/>
    <mergeCell ref="C46:C47"/>
    <mergeCell ref="E46:E47"/>
    <mergeCell ref="F40:F41"/>
    <mergeCell ref="E40:E41"/>
    <mergeCell ref="I40:I41"/>
    <mergeCell ref="F42:F43"/>
    <mergeCell ref="I42:I43"/>
    <mergeCell ref="L40:L41"/>
    <mergeCell ref="A36:M36"/>
    <mergeCell ref="A5:A6"/>
    <mergeCell ref="G5:G6"/>
    <mergeCell ref="A25:Q25"/>
    <mergeCell ref="I46:I47"/>
    <mergeCell ref="C93:C94"/>
    <mergeCell ref="D93:D94"/>
    <mergeCell ref="E93:E94"/>
    <mergeCell ref="F93:F94"/>
    <mergeCell ref="G93:G94"/>
    <mergeCell ref="I93:I94"/>
    <mergeCell ref="L93:L94"/>
    <mergeCell ref="C89:C90"/>
    <mergeCell ref="D89:D90"/>
    <mergeCell ref="A98:Q98"/>
    <mergeCell ref="A95:A96"/>
    <mergeCell ref="C95:C96"/>
    <mergeCell ref="D95:D96"/>
    <mergeCell ref="E95:E96"/>
    <mergeCell ref="F95:F96"/>
    <mergeCell ref="G95:G96"/>
    <mergeCell ref="I95:I96"/>
    <mergeCell ref="L95:L96"/>
    <mergeCell ref="A97:M97"/>
  </mergeCells>
  <phoneticPr fontId="5" type="noConversion"/>
  <conditionalFormatting sqref="A117">
    <cfRule type="duplicateValues" dxfId="42" priority="58" stopIfTrue="1"/>
  </conditionalFormatting>
  <conditionalFormatting sqref="A135">
    <cfRule type="duplicateValues" dxfId="41" priority="57" stopIfTrue="1"/>
  </conditionalFormatting>
  <conditionalFormatting sqref="A119:A120">
    <cfRule type="duplicateValues" dxfId="40" priority="56" stopIfTrue="1"/>
  </conditionalFormatting>
  <conditionalFormatting sqref="A127">
    <cfRule type="duplicateValues" dxfId="39" priority="54" stopIfTrue="1"/>
  </conditionalFormatting>
  <conditionalFormatting sqref="A130:A134">
    <cfRule type="duplicateValues" dxfId="38" priority="59" stopIfTrue="1"/>
  </conditionalFormatting>
  <conditionalFormatting sqref="A118">
    <cfRule type="duplicateValues" dxfId="37" priority="53" stopIfTrue="1"/>
  </conditionalFormatting>
  <conditionalFormatting sqref="A121">
    <cfRule type="duplicateValues" dxfId="36" priority="52" stopIfTrue="1"/>
  </conditionalFormatting>
  <conditionalFormatting sqref="A122">
    <cfRule type="duplicateValues" dxfId="35" priority="51" stopIfTrue="1"/>
  </conditionalFormatting>
  <conditionalFormatting sqref="A123">
    <cfRule type="duplicateValues" dxfId="34" priority="50" stopIfTrue="1"/>
  </conditionalFormatting>
  <conditionalFormatting sqref="A124">
    <cfRule type="duplicateValues" dxfId="33" priority="60" stopIfTrue="1"/>
  </conditionalFormatting>
  <conditionalFormatting sqref="A125:A126">
    <cfRule type="duplicateValues" dxfId="32" priority="49" stopIfTrue="1"/>
  </conditionalFormatting>
  <conditionalFormatting sqref="A128">
    <cfRule type="duplicateValues" dxfId="31" priority="48" stopIfTrue="1"/>
  </conditionalFormatting>
  <conditionalFormatting sqref="A108">
    <cfRule type="duplicateValues" dxfId="30" priority="45" stopIfTrue="1"/>
    <cfRule type="duplicateValues" dxfId="29" priority="46" stopIfTrue="1"/>
  </conditionalFormatting>
  <conditionalFormatting sqref="A108">
    <cfRule type="duplicateValues" dxfId="28" priority="47" stopIfTrue="1"/>
  </conditionalFormatting>
  <conditionalFormatting sqref="A109">
    <cfRule type="duplicateValues" dxfId="27" priority="44" stopIfTrue="1"/>
  </conditionalFormatting>
  <conditionalFormatting sqref="A109">
    <cfRule type="duplicateValues" dxfId="26" priority="42" stopIfTrue="1"/>
    <cfRule type="duplicateValues" dxfId="25" priority="43" stopIfTrue="1"/>
  </conditionalFormatting>
  <conditionalFormatting sqref="A110">
    <cfRule type="duplicateValues" dxfId="24" priority="41" stopIfTrue="1"/>
  </conditionalFormatting>
  <conditionalFormatting sqref="A116">
    <cfRule type="duplicateValues" dxfId="23" priority="40" stopIfTrue="1"/>
  </conditionalFormatting>
  <conditionalFormatting sqref="A112">
    <cfRule type="duplicateValues" dxfId="22" priority="39" stopIfTrue="1"/>
  </conditionalFormatting>
  <conditionalFormatting sqref="A113">
    <cfRule type="duplicateValues" dxfId="21" priority="38" stopIfTrue="1"/>
  </conditionalFormatting>
  <conditionalFormatting sqref="A114:A115">
    <cfRule type="duplicateValues" dxfId="20" priority="37" stopIfTrue="1"/>
  </conditionalFormatting>
  <conditionalFormatting sqref="A111">
    <cfRule type="duplicateValues" dxfId="19" priority="61" stopIfTrue="1"/>
  </conditionalFormatting>
  <conditionalFormatting sqref="A107">
    <cfRule type="duplicateValues" dxfId="18" priority="5" stopIfTrue="1"/>
  </conditionalFormatting>
  <conditionalFormatting sqref="A105">
    <cfRule type="duplicateValues" dxfId="17" priority="4" stopIfTrue="1"/>
  </conditionalFormatting>
  <conditionalFormatting sqref="A106">
    <cfRule type="duplicateValues" dxfId="16" priority="3" stopIfTrue="1"/>
  </conditionalFormatting>
  <conditionalFormatting sqref="A129">
    <cfRule type="duplicateValues" dxfId="15" priority="2" stopIfTrue="1"/>
  </conditionalFormatting>
  <conditionalFormatting sqref="A5:A6">
    <cfRule type="duplicateValues" dxfId="14" priority="542" stopIfTrue="1"/>
  </conditionalFormatting>
  <hyperlinks>
    <hyperlink ref="A137" r:id="rId2" display="www.general-russia.ru"/>
  </hyperlinks>
  <pageMargins left="0.39370078740157483" right="0.39370078740157483" top="0.39370078740157483" bottom="0.39370078740157483" header="0.51181102362204722" footer="0.51181102362204722"/>
  <pageSetup paperSize="9" scale="40" fitToHeight="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15</vt:i4>
      </vt:variant>
    </vt:vector>
  </HeadingPairs>
  <TitlesOfParts>
    <vt:vector size="28" baseType="lpstr">
      <vt:lpstr>Меню</vt:lpstr>
      <vt:lpstr>Калькулятор </vt:lpstr>
      <vt:lpstr>Бытовая серия</vt:lpstr>
      <vt:lpstr>Кассетные блоки</vt:lpstr>
      <vt:lpstr>Канальные блоки</vt:lpstr>
      <vt:lpstr>Универсальные блоки</vt:lpstr>
      <vt:lpstr>Big Multi</vt:lpstr>
      <vt:lpstr>Зимний комплект</vt:lpstr>
      <vt:lpstr>Flexible Multi</vt:lpstr>
      <vt:lpstr>VRF</vt:lpstr>
      <vt:lpstr> WaterStage</vt:lpstr>
      <vt:lpstr>Защита объектов</vt:lpstr>
      <vt:lpstr>Доставка</vt:lpstr>
      <vt:lpstr>'Flexible Multi'!Заголовки_для_печати</vt:lpstr>
      <vt:lpstr>'Бытовая серия'!Заголовки_для_печати</vt:lpstr>
      <vt:lpstr>'Универсальные блоки'!Заголовки_для_печати</vt:lpstr>
      <vt:lpstr>' WaterStage'!Область_печати</vt:lpstr>
      <vt:lpstr>'Big Multi'!Область_печати</vt:lpstr>
      <vt:lpstr>'Flexible Multi'!Область_печати</vt:lpstr>
      <vt:lpstr>VRF!Область_печати</vt:lpstr>
      <vt:lpstr>'Бытовая серия'!Область_печати</vt:lpstr>
      <vt:lpstr>'Защита объектов'!Область_печати</vt:lpstr>
      <vt:lpstr>'Зимний комплект'!Область_печати</vt:lpstr>
      <vt:lpstr>'Калькулятор '!Область_печати</vt:lpstr>
      <vt:lpstr>'Канальные блоки'!Область_печати</vt:lpstr>
      <vt:lpstr>'Кассетные блоки'!Область_печати</vt:lpstr>
      <vt:lpstr>Меню!Область_печати</vt:lpstr>
      <vt:lpstr>'Универсальные блоки'!Область_печати</vt:lpstr>
    </vt:vector>
  </TitlesOfParts>
  <Company>JAC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Latushkin</dc:creator>
  <cp:lastModifiedBy>Дунаева Алла</cp:lastModifiedBy>
  <cp:lastPrinted>2017-03-31T09:39:38Z</cp:lastPrinted>
  <dcterms:created xsi:type="dcterms:W3CDTF">2001-08-09T12:37:20Z</dcterms:created>
  <dcterms:modified xsi:type="dcterms:W3CDTF">2020-06-17T08:45:39Z</dcterms:modified>
</cp:coreProperties>
</file>